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showInkAnnotation="0"/>
  <mc:AlternateContent xmlns:mc="http://schemas.openxmlformats.org/markup-compatibility/2006">
    <mc:Choice Requires="x15">
      <x15ac:absPath xmlns:x15ac="http://schemas.microsoft.com/office/spreadsheetml/2010/11/ac" url="C:\Users\Estefany M\Desktop\"/>
    </mc:Choice>
  </mc:AlternateContent>
  <xr:revisionPtr revIDLastSave="0" documentId="8_{638EC147-C040-4177-98CD-1AD6E1C9010B}" xr6:coauthVersionLast="45" xr6:coauthVersionMax="45" xr10:uidLastSave="{00000000-0000-0000-0000-000000000000}"/>
  <bookViews>
    <workbookView xWindow="-108" yWindow="-108" windowWidth="23256" windowHeight="12576" tabRatio="1000" firstSheet="1" activeTab="10" xr2:uid="{00000000-000D-0000-FFFF-FFFF00000000}"/>
  </bookViews>
  <sheets>
    <sheet name="SALUD MENTAL" sheetId="1" r:id="rId1"/>
    <sheet name="PRESTACION DE SERVICIOS " sheetId="4" r:id="rId2"/>
    <sheet name="GESTION EPIDEMIOLOGIA" sheetId="5" r:id="rId3"/>
    <sheet name="SALUD AMBIENTAL " sheetId="6" r:id="rId4"/>
    <sheet name="CRONICAS" sheetId="7" r:id="rId5"/>
    <sheet name="ASEGURAMIENTO" sheetId="8" r:id="rId6"/>
    <sheet name="SSR" sheetId="10" r:id="rId7"/>
    <sheet name="GESTION DEL RIESGO" sheetId="11" r:id="rId8"/>
    <sheet name="PROMOCION SOCIAL" sheetId="13" r:id="rId9"/>
    <sheet name="TRASMISIBLES" sheetId="14" r:id="rId10"/>
    <sheet name="TOTAL" sheetId="15" r:id="rId11"/>
  </sheets>
  <externalReferences>
    <externalReference r:id="rId12"/>
  </externalReferences>
  <definedNames>
    <definedName name="_xlnm._FilterDatabase" localSheetId="3" hidden="1">'SALUD AMBIENTAL '!$A$1:$AB$35</definedName>
    <definedName name="_xlnm._FilterDatabase" localSheetId="0" hidden="1">'SALUD MENTAL'!$A$1:$AB$39</definedName>
    <definedName name="_xlnm._FilterDatabase" localSheetId="6" hidden="1">SSR!$A$2:$AB$37</definedName>
    <definedName name="DIME">[1]DIMYCOMP!$B$2:$K$2</definedName>
  </definedNames>
  <calcPr calcId="181029"/>
  <fileRecoveryPr repairLoad="1"/>
</workbook>
</file>

<file path=xl/calcChain.xml><?xml version="1.0" encoding="utf-8"?>
<calcChain xmlns="http://schemas.openxmlformats.org/spreadsheetml/2006/main">
  <c r="E15" i="15" l="1"/>
  <c r="D15" i="15"/>
  <c r="C15" i="15"/>
  <c r="H69" i="14"/>
  <c r="H68" i="14"/>
  <c r="H67" i="14"/>
  <c r="P69" i="14"/>
  <c r="P68" i="14"/>
  <c r="P67" i="14"/>
  <c r="Q41" i="13"/>
  <c r="Q40" i="13"/>
  <c r="Q39" i="13"/>
  <c r="I40" i="13"/>
  <c r="I39" i="13"/>
  <c r="I41" i="13"/>
  <c r="T42" i="10"/>
  <c r="T41" i="10"/>
  <c r="T40" i="10"/>
  <c r="L36" i="7"/>
  <c r="L35" i="7"/>
  <c r="L34" i="7"/>
  <c r="L42" i="6"/>
  <c r="L43" i="6"/>
  <c r="L44" i="6"/>
  <c r="P37" i="1"/>
  <c r="AA3" i="13"/>
  <c r="I20" i="11"/>
  <c r="I19" i="11"/>
  <c r="I21" i="11"/>
  <c r="Q20" i="11"/>
  <c r="Q19" i="11"/>
  <c r="P42" i="10"/>
  <c r="P41" i="10"/>
  <c r="P40" i="10"/>
  <c r="W36" i="10"/>
  <c r="Q21" i="8"/>
  <c r="Q20" i="8"/>
  <c r="Q19" i="8"/>
  <c r="Q36" i="7"/>
  <c r="Q35" i="7"/>
  <c r="Q34" i="7"/>
  <c r="U44" i="6"/>
  <c r="U43" i="6"/>
  <c r="U42" i="6"/>
  <c r="Q44" i="6"/>
  <c r="Q43" i="6"/>
  <c r="Q42" i="6"/>
  <c r="Q27" i="5"/>
  <c r="Q29" i="5"/>
  <c r="Q28" i="5"/>
  <c r="M29" i="5"/>
  <c r="M27" i="5"/>
  <c r="M28" i="5"/>
  <c r="V14" i="4"/>
  <c r="V16" i="4"/>
  <c r="V15" i="4"/>
  <c r="P15" i="4"/>
  <c r="P16" i="4"/>
  <c r="P14" i="4"/>
  <c r="AB37" i="1"/>
  <c r="AB38" i="1"/>
  <c r="U39" i="1"/>
  <c r="U37" i="1"/>
  <c r="U38" i="1"/>
  <c r="S3" i="4"/>
  <c r="AB5" i="8"/>
  <c r="W31" i="7" l="1"/>
  <c r="AA31" i="7" s="1"/>
  <c r="T31" i="7"/>
  <c r="N31" i="7"/>
  <c r="I15" i="11"/>
  <c r="I16" i="11"/>
  <c r="I14" i="11"/>
  <c r="N4" i="11"/>
  <c r="N5" i="11"/>
  <c r="N6" i="11"/>
  <c r="N7" i="11"/>
  <c r="N8" i="11"/>
  <c r="N9" i="11"/>
  <c r="N10" i="11"/>
  <c r="N11" i="11"/>
  <c r="N12" i="11"/>
  <c r="N13" i="11"/>
  <c r="N14" i="11"/>
  <c r="N15" i="11"/>
  <c r="N16" i="11"/>
  <c r="N3" i="11"/>
  <c r="I4" i="11"/>
  <c r="I5" i="11"/>
  <c r="I6" i="11"/>
  <c r="I7" i="11"/>
  <c r="I8" i="11"/>
  <c r="I9" i="11"/>
  <c r="I10" i="11"/>
  <c r="I11" i="11"/>
  <c r="I12" i="11"/>
  <c r="I13" i="11"/>
  <c r="I3" i="11"/>
  <c r="W5" i="11"/>
  <c r="W6" i="11"/>
  <c r="W8" i="11"/>
  <c r="W9" i="11"/>
  <c r="W11" i="11"/>
  <c r="W12" i="11"/>
  <c r="W13" i="11"/>
  <c r="W14" i="11"/>
  <c r="W15" i="11"/>
  <c r="W16" i="11"/>
  <c r="T29" i="10"/>
  <c r="N21" i="13" l="1"/>
  <c r="W18" i="13"/>
  <c r="AA18" i="13" s="1"/>
  <c r="W5" i="13"/>
  <c r="N4" i="13"/>
  <c r="N5" i="13"/>
  <c r="N6" i="13"/>
  <c r="N7" i="13"/>
  <c r="N8" i="13"/>
  <c r="N9" i="13"/>
  <c r="N10" i="13"/>
  <c r="N11" i="13"/>
  <c r="N12" i="13"/>
  <c r="N13" i="13"/>
  <c r="N14" i="13"/>
  <c r="N15" i="13"/>
  <c r="N16" i="13"/>
  <c r="N17" i="13"/>
  <c r="N18" i="13"/>
  <c r="N19" i="13"/>
  <c r="N20" i="13"/>
  <c r="N22" i="13"/>
  <c r="N23" i="13"/>
  <c r="N24" i="13"/>
  <c r="N25" i="13"/>
  <c r="N26" i="13"/>
  <c r="N27" i="13"/>
  <c r="N28" i="13"/>
  <c r="N29" i="13"/>
  <c r="N30" i="13"/>
  <c r="N31" i="13"/>
  <c r="N32" i="13"/>
  <c r="N33" i="13"/>
  <c r="I4" i="13"/>
  <c r="I5" i="13"/>
  <c r="I6" i="13"/>
  <c r="I7" i="13"/>
  <c r="I8" i="13"/>
  <c r="I9" i="13"/>
  <c r="I10" i="13"/>
  <c r="I11" i="13"/>
  <c r="I12" i="13"/>
  <c r="I13" i="13"/>
  <c r="I14" i="13"/>
  <c r="I15" i="13"/>
  <c r="I16" i="13"/>
  <c r="I17" i="13"/>
  <c r="I18" i="13"/>
  <c r="I19" i="13"/>
  <c r="I20" i="13"/>
  <c r="I21" i="13"/>
  <c r="I22" i="13"/>
  <c r="I23" i="13"/>
  <c r="I24" i="13"/>
  <c r="I25" i="13"/>
  <c r="I26" i="13"/>
  <c r="I27" i="13"/>
  <c r="I28" i="13"/>
  <c r="I29" i="13"/>
  <c r="I30" i="13"/>
  <c r="I31" i="13"/>
  <c r="I33" i="13"/>
  <c r="I3" i="13"/>
  <c r="N3" i="13"/>
  <c r="AA7" i="13"/>
  <c r="AA11" i="13"/>
  <c r="AA12" i="13"/>
  <c r="AA14" i="13"/>
  <c r="AA23" i="13"/>
  <c r="W4" i="13"/>
  <c r="AA4" i="13" s="1"/>
  <c r="AA5" i="13"/>
  <c r="W6" i="13"/>
  <c r="AA6" i="13" s="1"/>
  <c r="W8" i="13"/>
  <c r="AA8" i="13" s="1"/>
  <c r="AA9" i="13"/>
  <c r="AA10" i="13"/>
  <c r="W11" i="13"/>
  <c r="W12" i="13"/>
  <c r="W13" i="13"/>
  <c r="AA13" i="13" s="1"/>
  <c r="W14" i="13"/>
  <c r="W15" i="13"/>
  <c r="AA15" i="13" s="1"/>
  <c r="W16" i="13"/>
  <c r="AA16" i="13" s="1"/>
  <c r="W17" i="13"/>
  <c r="AA17" i="13" s="1"/>
  <c r="W19" i="13"/>
  <c r="AA19" i="13" s="1"/>
  <c r="W20" i="13"/>
  <c r="AA20" i="13" s="1"/>
  <c r="W21" i="13"/>
  <c r="AA21" i="13" s="1"/>
  <c r="W22" i="13"/>
  <c r="AA22" i="13" s="1"/>
  <c r="W23" i="13"/>
  <c r="W24" i="13"/>
  <c r="AA24" i="13" s="1"/>
  <c r="W25" i="13"/>
  <c r="W26" i="13"/>
  <c r="AA26" i="13" s="1"/>
  <c r="W27" i="13"/>
  <c r="W28" i="13"/>
  <c r="AA28" i="13" s="1"/>
  <c r="W29" i="13"/>
  <c r="AA29" i="13" s="1"/>
  <c r="W30" i="13"/>
  <c r="AA30" i="13" s="1"/>
  <c r="W31" i="13"/>
  <c r="AA31" i="13" s="1"/>
  <c r="W32" i="13"/>
  <c r="AA32" i="13" s="1"/>
  <c r="W33" i="13"/>
  <c r="AA33" i="13" s="1"/>
  <c r="W3" i="13"/>
  <c r="I35" i="10"/>
  <c r="I34" i="10"/>
  <c r="I33" i="10"/>
  <c r="T23" i="10"/>
  <c r="I20" i="10"/>
  <c r="I19" i="10"/>
  <c r="I18" i="10"/>
  <c r="AA4" i="10"/>
  <c r="AA5" i="10"/>
  <c r="AA6" i="10"/>
  <c r="AA7" i="10"/>
  <c r="AA8" i="10"/>
  <c r="AA9" i="10"/>
  <c r="AA10" i="10"/>
  <c r="AA13" i="10"/>
  <c r="AA25" i="10"/>
  <c r="AA37" i="10"/>
  <c r="AA3" i="10"/>
  <c r="W5" i="10"/>
  <c r="W6" i="10"/>
  <c r="W7" i="10"/>
  <c r="W8" i="10"/>
  <c r="W10" i="10"/>
  <c r="W11" i="10"/>
  <c r="AA11" i="10" s="1"/>
  <c r="W12" i="10"/>
  <c r="W13" i="10"/>
  <c r="W14" i="10"/>
  <c r="AA14" i="10" s="1"/>
  <c r="W15" i="10"/>
  <c r="W16" i="10"/>
  <c r="AA16" i="10" s="1"/>
  <c r="W17" i="10"/>
  <c r="AA17" i="10" s="1"/>
  <c r="W18" i="10"/>
  <c r="AA18" i="10" s="1"/>
  <c r="W19" i="10"/>
  <c r="AA19" i="10" s="1"/>
  <c r="W20" i="10"/>
  <c r="AA20" i="10" s="1"/>
  <c r="W21" i="10"/>
  <c r="AA21" i="10" s="1"/>
  <c r="W22" i="10"/>
  <c r="AA22" i="10" s="1"/>
  <c r="W23" i="10"/>
  <c r="AA23" i="10" s="1"/>
  <c r="W24" i="10"/>
  <c r="AA24" i="10" s="1"/>
  <c r="W26" i="10"/>
  <c r="AA26" i="10" s="1"/>
  <c r="W27" i="10"/>
  <c r="AA27" i="10" s="1"/>
  <c r="W28" i="10"/>
  <c r="AA28" i="10" s="1"/>
  <c r="W29" i="10"/>
  <c r="AA29" i="10" s="1"/>
  <c r="W30" i="10"/>
  <c r="AA30" i="10" s="1"/>
  <c r="W31" i="10"/>
  <c r="AA31" i="10" s="1"/>
  <c r="W32" i="10"/>
  <c r="AA32" i="10" s="1"/>
  <c r="W33" i="10"/>
  <c r="AA33" i="10" s="1"/>
  <c r="W34" i="10"/>
  <c r="AA34" i="10" s="1"/>
  <c r="W35" i="10"/>
  <c r="AA35" i="10" s="1"/>
  <c r="AA36" i="10"/>
  <c r="W37" i="10"/>
  <c r="T5" i="10"/>
  <c r="T6" i="10"/>
  <c r="T7" i="10"/>
  <c r="T8" i="10"/>
  <c r="T9" i="10"/>
  <c r="T10" i="10"/>
  <c r="T11" i="10"/>
  <c r="T12" i="10"/>
  <c r="T13" i="10"/>
  <c r="T14" i="10"/>
  <c r="T15" i="10"/>
  <c r="T16" i="10"/>
  <c r="T17" i="10"/>
  <c r="T18" i="10"/>
  <c r="T19" i="10"/>
  <c r="T20" i="10"/>
  <c r="T21" i="10"/>
  <c r="T24" i="10"/>
  <c r="T26" i="10"/>
  <c r="T27" i="10"/>
  <c r="T28" i="10"/>
  <c r="T30" i="10"/>
  <c r="T31" i="10"/>
  <c r="T32" i="10"/>
  <c r="T33" i="10"/>
  <c r="T34" i="10"/>
  <c r="T35" i="10"/>
  <c r="T37" i="10"/>
  <c r="Q5" i="10"/>
  <c r="N4" i="10"/>
  <c r="N5" i="10"/>
  <c r="N6" i="10"/>
  <c r="N7" i="10"/>
  <c r="N8" i="10"/>
  <c r="N9" i="10"/>
  <c r="N10" i="10"/>
  <c r="N11" i="10"/>
  <c r="N12" i="10"/>
  <c r="N13" i="10"/>
  <c r="N14" i="10"/>
  <c r="N15" i="10"/>
  <c r="N16" i="10"/>
  <c r="N17" i="10"/>
  <c r="N18" i="10"/>
  <c r="N19" i="10"/>
  <c r="N20" i="10"/>
  <c r="N21" i="10"/>
  <c r="N23" i="10"/>
  <c r="N24" i="10"/>
  <c r="N25" i="10"/>
  <c r="N26" i="10"/>
  <c r="N27" i="10"/>
  <c r="N28" i="10"/>
  <c r="N29" i="10"/>
  <c r="N30" i="10"/>
  <c r="N31" i="10"/>
  <c r="N32" i="10"/>
  <c r="N33" i="10"/>
  <c r="N34" i="10"/>
  <c r="N35" i="10"/>
  <c r="N36" i="10"/>
  <c r="N37" i="10"/>
  <c r="N3" i="10"/>
  <c r="I4" i="10"/>
  <c r="I5" i="10"/>
  <c r="I6" i="10"/>
  <c r="I7" i="10"/>
  <c r="I8" i="10"/>
  <c r="I9" i="10"/>
  <c r="I10" i="10"/>
  <c r="I11" i="10"/>
  <c r="I12" i="10"/>
  <c r="I13" i="10"/>
  <c r="I14" i="10"/>
  <c r="I15" i="10"/>
  <c r="I16" i="10"/>
  <c r="I17" i="10"/>
  <c r="I21" i="10"/>
  <c r="I22" i="10"/>
  <c r="I23" i="10"/>
  <c r="I25" i="10"/>
  <c r="I26" i="10"/>
  <c r="I27" i="10"/>
  <c r="I28" i="10"/>
  <c r="I29" i="10"/>
  <c r="I30" i="10"/>
  <c r="I31" i="10"/>
  <c r="I32" i="10"/>
  <c r="I36" i="10"/>
  <c r="I37" i="10"/>
  <c r="I3" i="10"/>
  <c r="V4" i="4"/>
  <c r="V5" i="4"/>
  <c r="V6" i="4"/>
  <c r="V7" i="4"/>
  <c r="V8" i="4"/>
  <c r="V10" i="4"/>
  <c r="V3" i="4"/>
  <c r="S4" i="4"/>
  <c r="S5" i="4"/>
  <c r="S8" i="4"/>
  <c r="S9" i="4"/>
  <c r="S10" i="4"/>
  <c r="U33" i="1"/>
  <c r="U34" i="1"/>
  <c r="R34" i="1"/>
  <c r="O12" i="1"/>
  <c r="X9" i="1"/>
  <c r="X7" i="1"/>
  <c r="X6" i="1"/>
  <c r="AA12" i="10" l="1"/>
  <c r="X5" i="1"/>
  <c r="X8" i="1"/>
  <c r="X10" i="1"/>
  <c r="X11" i="1"/>
  <c r="X12" i="1"/>
  <c r="X13" i="1"/>
  <c r="X14" i="1"/>
  <c r="X15" i="1"/>
  <c r="X16" i="1"/>
  <c r="X17" i="1"/>
  <c r="X18" i="1"/>
  <c r="X19" i="1"/>
  <c r="X20" i="1"/>
  <c r="X21" i="1"/>
  <c r="X22" i="1"/>
  <c r="X23" i="1"/>
  <c r="X24" i="1"/>
  <c r="X25" i="1"/>
  <c r="X27" i="1"/>
  <c r="X28" i="1"/>
  <c r="X29" i="1"/>
  <c r="X30" i="1"/>
  <c r="X31" i="1"/>
  <c r="X33" i="1"/>
  <c r="X34" i="1"/>
  <c r="X4" i="1"/>
  <c r="V11" i="5"/>
  <c r="P10" i="5"/>
  <c r="P24" i="5"/>
  <c r="H19" i="5"/>
  <c r="Z18" i="5"/>
  <c r="Z21" i="5"/>
  <c r="Z22" i="5"/>
  <c r="Z23" i="5"/>
  <c r="M5" i="5"/>
  <c r="M6" i="5"/>
  <c r="M7" i="5"/>
  <c r="M8" i="5"/>
  <c r="M9" i="5"/>
  <c r="M10" i="5"/>
  <c r="M11" i="5"/>
  <c r="M12" i="5"/>
  <c r="M13" i="5"/>
  <c r="M14" i="5"/>
  <c r="M15" i="5"/>
  <c r="M16" i="5"/>
  <c r="M17" i="5"/>
  <c r="M18" i="5"/>
  <c r="M19" i="5"/>
  <c r="M20" i="5"/>
  <c r="M21" i="5"/>
  <c r="M22" i="5"/>
  <c r="M23" i="5"/>
  <c r="M24" i="5"/>
  <c r="H4" i="5"/>
  <c r="H5" i="5"/>
  <c r="H6" i="5"/>
  <c r="H7" i="5"/>
  <c r="H8" i="5"/>
  <c r="H9" i="5"/>
  <c r="H10" i="5"/>
  <c r="H11" i="5"/>
  <c r="H12" i="5"/>
  <c r="H13" i="5"/>
  <c r="H14" i="5"/>
  <c r="H15" i="5"/>
  <c r="H16" i="5"/>
  <c r="H17" i="5"/>
  <c r="H18" i="5"/>
  <c r="H20" i="5"/>
  <c r="H21" i="5"/>
  <c r="H22" i="5"/>
  <c r="H23" i="5"/>
  <c r="H24" i="5"/>
  <c r="H3" i="5"/>
  <c r="Z3" i="5"/>
  <c r="V4" i="5"/>
  <c r="V5" i="5"/>
  <c r="V6" i="5"/>
  <c r="V7" i="5"/>
  <c r="V8" i="5"/>
  <c r="V9" i="5"/>
  <c r="V10" i="5"/>
  <c r="V12" i="5"/>
  <c r="V13" i="5"/>
  <c r="V14" i="5"/>
  <c r="V15" i="5"/>
  <c r="V18" i="5"/>
  <c r="V19" i="5"/>
  <c r="Z19" i="5" s="1"/>
  <c r="V20" i="5"/>
  <c r="V21" i="5"/>
  <c r="V23" i="5"/>
  <c r="V24" i="5"/>
  <c r="Z24" i="5" s="1"/>
  <c r="V3" i="5"/>
  <c r="C22" i="15"/>
  <c r="W38" i="6"/>
  <c r="AA38" i="6" s="1"/>
  <c r="T38" i="6"/>
  <c r="I32" i="6"/>
  <c r="I33" i="6"/>
  <c r="I34" i="6"/>
  <c r="I35" i="6"/>
  <c r="I36" i="6"/>
  <c r="N26" i="6"/>
  <c r="I25" i="6"/>
  <c r="W24" i="6"/>
  <c r="N8" i="6"/>
  <c r="N4" i="6"/>
  <c r="N5" i="6"/>
  <c r="N6" i="6"/>
  <c r="N7" i="6"/>
  <c r="N3" i="6"/>
  <c r="N22" i="6"/>
  <c r="N23" i="6"/>
  <c r="N24" i="6"/>
  <c r="N25" i="6"/>
  <c r="N27" i="6"/>
  <c r="N28" i="6"/>
  <c r="N29" i="6"/>
  <c r="N30" i="6"/>
  <c r="N31" i="6"/>
  <c r="N32" i="6"/>
  <c r="N33" i="6"/>
  <c r="N34" i="6"/>
  <c r="N35" i="6"/>
  <c r="N36" i="6"/>
  <c r="N19" i="6"/>
  <c r="N20" i="6"/>
  <c r="N21" i="6"/>
  <c r="N18" i="6"/>
  <c r="I14" i="6"/>
  <c r="W10" i="6"/>
  <c r="I10" i="6"/>
  <c r="W9" i="6"/>
  <c r="I9" i="6"/>
  <c r="I6" i="6"/>
  <c r="I7" i="6"/>
  <c r="I8" i="6"/>
  <c r="I11" i="6"/>
  <c r="I12" i="6"/>
  <c r="I13" i="6"/>
  <c r="I15" i="6"/>
  <c r="I16" i="6"/>
  <c r="I17" i="6"/>
  <c r="I18" i="6"/>
  <c r="I19" i="6"/>
  <c r="I20" i="6"/>
  <c r="I21" i="6"/>
  <c r="I22" i="6"/>
  <c r="I23" i="6"/>
  <c r="I24" i="6"/>
  <c r="I26" i="6"/>
  <c r="I27" i="6"/>
  <c r="I28" i="6"/>
  <c r="I29" i="6"/>
  <c r="I30" i="6"/>
  <c r="I31" i="6"/>
  <c r="I5" i="6"/>
  <c r="W4" i="6"/>
  <c r="W5" i="6"/>
  <c r="W6" i="6"/>
  <c r="W7" i="6"/>
  <c r="W8" i="6"/>
  <c r="W11" i="6"/>
  <c r="AA11" i="6" s="1"/>
  <c r="W12" i="6"/>
  <c r="AA12" i="6" s="1"/>
  <c r="W13" i="6"/>
  <c r="AA13" i="6" s="1"/>
  <c r="W14" i="6"/>
  <c r="W15" i="6"/>
  <c r="W16" i="6"/>
  <c r="W17" i="6"/>
  <c r="W18" i="6"/>
  <c r="AA18" i="6" s="1"/>
  <c r="W19" i="6"/>
  <c r="W20" i="6"/>
  <c r="W21" i="6"/>
  <c r="W22" i="6"/>
  <c r="W23" i="6"/>
  <c r="AA24" i="6"/>
  <c r="W25" i="6"/>
  <c r="AA25" i="6" s="1"/>
  <c r="W26" i="6"/>
  <c r="W27" i="6"/>
  <c r="W28" i="6"/>
  <c r="AA28" i="6" s="1"/>
  <c r="W29" i="6"/>
  <c r="W30" i="6"/>
  <c r="W31" i="6"/>
  <c r="W32" i="6"/>
  <c r="AA32" i="6" s="1"/>
  <c r="W33" i="6"/>
  <c r="W34" i="6"/>
  <c r="W35" i="6"/>
  <c r="AA35" i="6" s="1"/>
  <c r="W36" i="6"/>
  <c r="W3" i="6"/>
  <c r="X15" i="8" l="1"/>
  <c r="AB15" i="8" s="1"/>
  <c r="X16" i="8"/>
  <c r="AB16" i="8" s="1"/>
  <c r="O14" i="8"/>
  <c r="O15" i="8"/>
  <c r="O16" i="8"/>
  <c r="O10" i="8"/>
  <c r="O11" i="8"/>
  <c r="O12" i="8"/>
  <c r="O13" i="8"/>
  <c r="O9" i="8"/>
  <c r="O7" i="8"/>
  <c r="AB13" i="8"/>
  <c r="AB4" i="8"/>
  <c r="O4" i="8"/>
  <c r="O3" i="8"/>
  <c r="O5" i="8"/>
  <c r="O6" i="8"/>
  <c r="O8" i="8"/>
  <c r="AB3" i="8"/>
  <c r="X4" i="8"/>
  <c r="X5" i="8"/>
  <c r="AB6" i="8"/>
  <c r="X7" i="8"/>
  <c r="AB7" i="8" s="1"/>
  <c r="X8" i="8"/>
  <c r="AB8" i="8" s="1"/>
  <c r="X9" i="8"/>
  <c r="AB9" i="8" s="1"/>
  <c r="X10" i="8"/>
  <c r="AB10" i="8" s="1"/>
  <c r="X11" i="8"/>
  <c r="AB11" i="8" s="1"/>
  <c r="X12" i="8"/>
  <c r="AB12" i="8" s="1"/>
  <c r="X13" i="8"/>
  <c r="X14" i="8"/>
  <c r="AB14" i="8" s="1"/>
  <c r="X3" i="8"/>
  <c r="W61" i="14"/>
  <c r="I51" i="14"/>
  <c r="N50" i="14"/>
  <c r="W46" i="14"/>
  <c r="W47" i="14"/>
  <c r="N46" i="14"/>
  <c r="N45" i="14"/>
  <c r="N44" i="14"/>
  <c r="I44" i="14"/>
  <c r="N43" i="14"/>
  <c r="I43" i="14"/>
  <c r="W60" i="14"/>
  <c r="AA60" i="14" s="1"/>
  <c r="T60" i="14"/>
  <c r="M60" i="14"/>
  <c r="W59" i="14"/>
  <c r="AA59" i="14" s="1"/>
  <c r="M59" i="14"/>
  <c r="W58" i="14"/>
  <c r="AA58" i="14" s="1"/>
  <c r="M58" i="14"/>
  <c r="N38" i="14"/>
  <c r="N37" i="14"/>
  <c r="I37" i="14"/>
  <c r="W36" i="14"/>
  <c r="W37" i="14"/>
  <c r="N36" i="14"/>
  <c r="I36" i="14"/>
  <c r="N35" i="14"/>
  <c r="I35" i="14"/>
  <c r="N34" i="14"/>
  <c r="I34" i="14"/>
  <c r="N32" i="14"/>
  <c r="N31" i="14"/>
  <c r="I31" i="14"/>
  <c r="N56" i="14"/>
  <c r="N30" i="14"/>
  <c r="AA26" i="14"/>
  <c r="N25" i="14"/>
  <c r="N24" i="14"/>
  <c r="N19" i="14"/>
  <c r="N21" i="14"/>
  <c r="I21" i="14"/>
  <c r="N18" i="14"/>
  <c r="N15" i="14"/>
  <c r="N14" i="14"/>
  <c r="I14" i="14"/>
  <c r="I13" i="14"/>
  <c r="Q3" i="14"/>
  <c r="W13" i="14"/>
  <c r="AA13" i="14" s="1"/>
  <c r="W14" i="14"/>
  <c r="W15" i="14"/>
  <c r="W16" i="14"/>
  <c r="AA16" i="14" s="1"/>
  <c r="W17" i="14"/>
  <c r="AA17" i="14" s="1"/>
  <c r="W18" i="14"/>
  <c r="W19" i="14"/>
  <c r="AA20" i="14"/>
  <c r="W21" i="14"/>
  <c r="W22" i="14"/>
  <c r="AA22" i="14" s="1"/>
  <c r="W24" i="14"/>
  <c r="AA24" i="14" s="1"/>
  <c r="W25" i="14"/>
  <c r="W27" i="14"/>
  <c r="AA27" i="14" s="1"/>
  <c r="W28" i="14"/>
  <c r="AA28" i="14" s="1"/>
  <c r="W29" i="14"/>
  <c r="AA29" i="14" s="1"/>
  <c r="W30" i="14"/>
  <c r="AA30" i="14" s="1"/>
  <c r="W31" i="14"/>
  <c r="W32" i="14"/>
  <c r="AA33" i="14"/>
  <c r="W34" i="14"/>
  <c r="W35" i="14"/>
  <c r="W38" i="14"/>
  <c r="W40" i="14"/>
  <c r="AA40" i="14" s="1"/>
  <c r="W41" i="14"/>
  <c r="AA41" i="14" s="1"/>
  <c r="W42" i="14"/>
  <c r="AA42" i="14" s="1"/>
  <c r="W43" i="14"/>
  <c r="W44" i="14"/>
  <c r="W45" i="14"/>
  <c r="W48" i="14"/>
  <c r="W49" i="14"/>
  <c r="W50" i="14"/>
  <c r="W51" i="14"/>
  <c r="W52" i="14"/>
  <c r="AA52" i="14" s="1"/>
  <c r="AA53" i="14"/>
  <c r="AA54" i="14"/>
  <c r="W12" i="14"/>
  <c r="N12" i="14"/>
  <c r="I12" i="14"/>
  <c r="W10" i="14"/>
  <c r="N10" i="14"/>
  <c r="W9" i="14"/>
  <c r="N9" i="14"/>
  <c r="W8" i="14"/>
  <c r="N8" i="14"/>
  <c r="W7" i="14"/>
  <c r="N7" i="14"/>
  <c r="W6" i="14"/>
  <c r="N6" i="14"/>
  <c r="W5" i="14"/>
  <c r="N5" i="14"/>
  <c r="W4" i="14"/>
  <c r="N4" i="14"/>
  <c r="W3" i="14"/>
  <c r="N3" i="14"/>
  <c r="T27" i="7"/>
  <c r="T29" i="7"/>
  <c r="AA29" i="7" s="1"/>
  <c r="T26" i="7"/>
  <c r="W27" i="7"/>
  <c r="AA27" i="7" s="1"/>
  <c r="W28" i="7"/>
  <c r="AA28" i="7" s="1"/>
  <c r="W29" i="7"/>
  <c r="W30" i="7"/>
  <c r="W26" i="7"/>
  <c r="N30" i="7"/>
  <c r="N29" i="7"/>
  <c r="N27" i="7"/>
  <c r="N26" i="7"/>
  <c r="AA21" i="7"/>
  <c r="W21" i="7"/>
  <c r="AA24" i="7"/>
  <c r="W24" i="7"/>
  <c r="W22" i="7"/>
  <c r="W20" i="7"/>
  <c r="W19" i="7"/>
  <c r="W18" i="7"/>
  <c r="W17" i="7"/>
  <c r="AA16" i="7"/>
  <c r="W16" i="7"/>
  <c r="AA14" i="7"/>
  <c r="W14" i="7"/>
  <c r="N14" i="7"/>
  <c r="W12" i="7"/>
  <c r="W10" i="7"/>
  <c r="W9" i="7"/>
  <c r="AA8" i="7"/>
  <c r="W8" i="7"/>
  <c r="N8" i="7"/>
  <c r="AA6" i="7"/>
  <c r="W6" i="7"/>
  <c r="AA4" i="7"/>
  <c r="W4" i="7"/>
  <c r="N4" i="7"/>
  <c r="AA3" i="7"/>
  <c r="N3" i="7"/>
  <c r="W3" i="7"/>
  <c r="AA30" i="7" l="1"/>
  <c r="AA26" i="7"/>
  <c r="E22" i="15" l="1"/>
  <c r="D22" i="15"/>
  <c r="E14" i="15" l="1"/>
  <c r="D14" i="15"/>
  <c r="C14" i="15"/>
  <c r="L69" i="14" l="1"/>
  <c r="L68" i="14"/>
  <c r="L67" i="14"/>
  <c r="T51" i="14"/>
  <c r="T50" i="14"/>
  <c r="AA50" i="14" s="1"/>
  <c r="T49" i="14"/>
  <c r="AA49" i="14" s="1"/>
  <c r="T47" i="14"/>
  <c r="AA47" i="14" s="1"/>
  <c r="T46" i="14"/>
  <c r="AA46" i="14" s="1"/>
  <c r="T45" i="14"/>
  <c r="T44" i="14"/>
  <c r="Q39" i="14"/>
  <c r="AA39" i="14" s="1"/>
  <c r="T37" i="14"/>
  <c r="T36" i="14"/>
  <c r="AA36" i="14" s="1"/>
  <c r="T32" i="14"/>
  <c r="AA32" i="14" s="1"/>
  <c r="T31" i="14"/>
  <c r="T25" i="14"/>
  <c r="T21" i="14"/>
  <c r="T19" i="14"/>
  <c r="AA19" i="14" s="1"/>
  <c r="T18" i="14"/>
  <c r="AA18" i="14" s="1"/>
  <c r="T15" i="14"/>
  <c r="I15" i="14"/>
  <c r="T14" i="14"/>
  <c r="Q14" i="14"/>
  <c r="T12" i="14"/>
  <c r="AA12" i="14" s="1"/>
  <c r="T10" i="14"/>
  <c r="T7" i="14"/>
  <c r="T4" i="14"/>
  <c r="T3" i="14"/>
  <c r="M39" i="13"/>
  <c r="M40" i="13"/>
  <c r="T33" i="13"/>
  <c r="T27" i="13"/>
  <c r="AA27" i="13" s="1"/>
  <c r="T26" i="13"/>
  <c r="T25" i="13"/>
  <c r="T24" i="13"/>
  <c r="T23" i="13"/>
  <c r="T22" i="13"/>
  <c r="T17" i="13"/>
  <c r="T8" i="13"/>
  <c r="T4" i="13"/>
  <c r="M20" i="11"/>
  <c r="M19" i="11"/>
  <c r="T12" i="11"/>
  <c r="AA12" i="11" s="1"/>
  <c r="T11" i="11"/>
  <c r="T10" i="11"/>
  <c r="T8" i="11"/>
  <c r="T6" i="11"/>
  <c r="Q6" i="11"/>
  <c r="AA6" i="11" s="1"/>
  <c r="AA5" i="11"/>
  <c r="L42" i="10"/>
  <c r="L41" i="10"/>
  <c r="L40" i="10"/>
  <c r="T4" i="10"/>
  <c r="I21" i="8"/>
  <c r="I20" i="8"/>
  <c r="I19" i="8"/>
  <c r="M20" i="8"/>
  <c r="M19" i="8"/>
  <c r="U16" i="8"/>
  <c r="U15" i="8"/>
  <c r="U13" i="8"/>
  <c r="U11" i="8"/>
  <c r="U9" i="8"/>
  <c r="J9" i="8"/>
  <c r="U4" i="8"/>
  <c r="U3" i="8"/>
  <c r="G34" i="7"/>
  <c r="G36" i="7"/>
  <c r="G35" i="7"/>
  <c r="AA20" i="7"/>
  <c r="T20" i="7"/>
  <c r="I20" i="7"/>
  <c r="T19" i="7"/>
  <c r="I19" i="7"/>
  <c r="T18" i="7"/>
  <c r="T14" i="7"/>
  <c r="I14" i="7"/>
  <c r="I12" i="7"/>
  <c r="T10" i="7"/>
  <c r="AA9" i="7"/>
  <c r="T9" i="7"/>
  <c r="T8" i="7"/>
  <c r="I8" i="7"/>
  <c r="I4" i="7"/>
  <c r="T3" i="7"/>
  <c r="I3" i="7"/>
  <c r="T36" i="6"/>
  <c r="AA36" i="6" s="1"/>
  <c r="T34" i="6"/>
  <c r="AA34" i="6" s="1"/>
  <c r="T33" i="6"/>
  <c r="AA33" i="6" s="1"/>
  <c r="T30" i="6"/>
  <c r="AA30" i="6" s="1"/>
  <c r="T29" i="6"/>
  <c r="AA29" i="6" s="1"/>
  <c r="T27" i="6"/>
  <c r="T26" i="6"/>
  <c r="Q26" i="6"/>
  <c r="AA14" i="14" l="1"/>
  <c r="AA26" i="6"/>
  <c r="T22" i="6"/>
  <c r="T20" i="6"/>
  <c r="AA20" i="6" s="1"/>
  <c r="T19" i="6"/>
  <c r="N17" i="6"/>
  <c r="N16" i="6"/>
  <c r="T17" i="6"/>
  <c r="AA17" i="6" s="1"/>
  <c r="T16" i="6"/>
  <c r="T15" i="6"/>
  <c r="AA15" i="6" s="1"/>
  <c r="N15" i="6"/>
  <c r="Q14" i="6"/>
  <c r="AA14" i="6" s="1"/>
  <c r="N14" i="6"/>
  <c r="N13" i="6"/>
  <c r="N12" i="6"/>
  <c r="N10" i="6"/>
  <c r="N11" i="6"/>
  <c r="T9" i="6"/>
  <c r="N9" i="6"/>
  <c r="T8" i="6"/>
  <c r="T7" i="6"/>
  <c r="T6" i="6"/>
  <c r="T4" i="6"/>
  <c r="I4" i="6"/>
  <c r="H29" i="5"/>
  <c r="H28" i="5"/>
  <c r="H27" i="5"/>
  <c r="S20" i="5"/>
  <c r="Z20" i="5" s="1"/>
  <c r="Z17" i="5"/>
  <c r="Z16" i="5"/>
  <c r="S15" i="5"/>
  <c r="S14" i="5"/>
  <c r="S13" i="5"/>
  <c r="P13" i="5"/>
  <c r="S12" i="5"/>
  <c r="S11" i="5"/>
  <c r="S10" i="5"/>
  <c r="S9" i="5"/>
  <c r="Z9" i="5" s="1"/>
  <c r="S8" i="5"/>
  <c r="S7" i="5"/>
  <c r="S6" i="5"/>
  <c r="Z6" i="5" s="1"/>
  <c r="S5" i="5"/>
  <c r="Z5" i="5" s="1"/>
  <c r="S4" i="5"/>
  <c r="Z4" i="5" s="1"/>
  <c r="M4" i="5"/>
  <c r="M3" i="5"/>
  <c r="K15" i="4"/>
  <c r="M10" i="4"/>
  <c r="M9" i="4"/>
  <c r="M8" i="4"/>
  <c r="M7" i="4"/>
  <c r="M6" i="4"/>
  <c r="M5" i="4"/>
  <c r="M4" i="4"/>
  <c r="M3" i="4"/>
  <c r="AB39" i="1"/>
  <c r="P38" i="1"/>
  <c r="U23" i="1"/>
  <c r="AB23" i="1" s="1"/>
  <c r="O23" i="1"/>
  <c r="J23" i="1"/>
  <c r="U22" i="1"/>
  <c r="U32" i="1"/>
  <c r="R31" i="1"/>
  <c r="U30" i="1"/>
  <c r="U28" i="1"/>
  <c r="U27" i="1"/>
  <c r="AB27" i="1" s="1"/>
  <c r="U26" i="1"/>
  <c r="U24" i="1"/>
  <c r="U21" i="1"/>
  <c r="U20" i="1"/>
  <c r="O20" i="1"/>
  <c r="U19" i="1"/>
  <c r="U16" i="1"/>
  <c r="U14" i="1"/>
  <c r="U13" i="1"/>
  <c r="J12" i="1"/>
  <c r="U6" i="1"/>
  <c r="J6" i="1"/>
  <c r="J5" i="1"/>
  <c r="Z13" i="5" l="1"/>
  <c r="T6" i="7" l="1"/>
  <c r="O18" i="1" l="1"/>
  <c r="O32" i="1"/>
  <c r="K14" i="4" l="1"/>
  <c r="E13" i="15" l="1"/>
  <c r="D13" i="15"/>
  <c r="C13" i="15"/>
  <c r="J17" i="8"/>
  <c r="H41" i="10"/>
  <c r="H40" i="10"/>
  <c r="G43" i="6"/>
  <c r="G44" i="6"/>
  <c r="G42" i="6"/>
  <c r="G15" i="4"/>
  <c r="G14" i="4"/>
  <c r="Q7" i="13"/>
  <c r="Q9" i="13"/>
  <c r="Q13" i="13"/>
  <c r="Q14" i="13"/>
  <c r="Q19" i="13"/>
  <c r="Q20" i="13"/>
  <c r="Q21" i="13"/>
  <c r="Q22" i="13"/>
  <c r="Q25" i="13"/>
  <c r="AA25" i="13" s="1"/>
  <c r="Q33" i="13"/>
  <c r="AA5" i="14" l="1"/>
  <c r="Q6" i="14"/>
  <c r="AA6" i="14" s="1"/>
  <c r="Q7" i="14"/>
  <c r="AA7" i="14" s="1"/>
  <c r="Q8" i="14"/>
  <c r="AA8" i="14" s="1"/>
  <c r="AA9" i="14"/>
  <c r="Q10" i="14"/>
  <c r="AA10" i="14" s="1"/>
  <c r="AA11" i="14"/>
  <c r="Q15" i="14"/>
  <c r="AA15" i="14" s="1"/>
  <c r="Q21" i="14"/>
  <c r="AA21" i="14" s="1"/>
  <c r="Q23" i="14"/>
  <c r="AA23" i="14" s="1"/>
  <c r="Q25" i="14"/>
  <c r="AA25" i="14" s="1"/>
  <c r="Q31" i="14"/>
  <c r="AA31" i="14" s="1"/>
  <c r="Q34" i="14"/>
  <c r="AA34" i="14" s="1"/>
  <c r="Q35" i="14"/>
  <c r="AA35" i="14" s="1"/>
  <c r="Q37" i="14"/>
  <c r="AA37" i="14" s="1"/>
  <c r="Q38" i="14"/>
  <c r="AA38" i="14" s="1"/>
  <c r="Q43" i="14"/>
  <c r="AA43" i="14" s="1"/>
  <c r="Q44" i="14"/>
  <c r="AA44" i="14" s="1"/>
  <c r="Q45" i="14"/>
  <c r="AA45" i="14" s="1"/>
  <c r="Q48" i="14"/>
  <c r="AA48" i="14" s="1"/>
  <c r="Q51" i="14"/>
  <c r="AA51" i="14" s="1"/>
  <c r="Q4" i="14"/>
  <c r="AA4" i="14" s="1"/>
  <c r="AA3" i="14"/>
  <c r="Q13" i="11"/>
  <c r="AA13" i="11" s="1"/>
  <c r="AA4" i="11"/>
  <c r="AA7" i="11"/>
  <c r="Q8" i="11"/>
  <c r="AA8" i="11" s="1"/>
  <c r="Q9" i="11"/>
  <c r="AA9" i="11" s="1"/>
  <c r="Q10" i="11"/>
  <c r="AA10" i="11" s="1"/>
  <c r="AA11" i="11"/>
  <c r="AA14" i="11"/>
  <c r="Q15" i="11"/>
  <c r="AA15" i="11" s="1"/>
  <c r="AA16" i="11"/>
  <c r="AA3" i="11"/>
  <c r="Q6" i="10"/>
  <c r="Q7" i="10"/>
  <c r="Q8" i="10"/>
  <c r="Q9" i="10"/>
  <c r="Q15" i="10"/>
  <c r="AA15" i="10" s="1"/>
  <c r="Q20" i="10"/>
  <c r="Q23" i="10"/>
  <c r="Q24" i="10"/>
  <c r="Q28" i="10"/>
  <c r="Q31" i="10"/>
  <c r="Q32" i="10"/>
  <c r="Q34" i="10"/>
  <c r="Q35" i="10"/>
  <c r="Q36" i="10"/>
  <c r="Q37" i="10"/>
  <c r="R5" i="8" l="1"/>
  <c r="R6" i="8"/>
  <c r="R8" i="8"/>
  <c r="R9" i="8"/>
  <c r="R12" i="8"/>
  <c r="R13" i="8"/>
  <c r="R15" i="8"/>
  <c r="R16" i="8"/>
  <c r="R3" i="8"/>
  <c r="Q14" i="7"/>
  <c r="Q4" i="7"/>
  <c r="AA19" i="7"/>
  <c r="Q18" i="7"/>
  <c r="AA18" i="7" s="1"/>
  <c r="AA17" i="7"/>
  <c r="AA12" i="7"/>
  <c r="AA10" i="7"/>
  <c r="Q6" i="7"/>
  <c r="Q9" i="6" l="1"/>
  <c r="AA9" i="6" s="1"/>
  <c r="Q4" i="6"/>
  <c r="AA4" i="6" s="1"/>
  <c r="Q5" i="6"/>
  <c r="AA5" i="6" s="1"/>
  <c r="Q6" i="6"/>
  <c r="AA6" i="6" s="1"/>
  <c r="Q7" i="6"/>
  <c r="AA7" i="6" s="1"/>
  <c r="Q8" i="6"/>
  <c r="AA8" i="6" s="1"/>
  <c r="Q10" i="6"/>
  <c r="AA10" i="6" s="1"/>
  <c r="Q16" i="6"/>
  <c r="AA16" i="6" s="1"/>
  <c r="Q19" i="6"/>
  <c r="AA19" i="6" s="1"/>
  <c r="Q21" i="6"/>
  <c r="AA21" i="6" s="1"/>
  <c r="Q22" i="6"/>
  <c r="AA22" i="6" s="1"/>
  <c r="Q23" i="6"/>
  <c r="AA23" i="6" s="1"/>
  <c r="Q27" i="6"/>
  <c r="AA27" i="6" s="1"/>
  <c r="Q31" i="6"/>
  <c r="AA31" i="6" s="1"/>
  <c r="Q3" i="6"/>
  <c r="AA3" i="6" s="1"/>
  <c r="P7" i="5" l="1"/>
  <c r="Z7" i="5" s="1"/>
  <c r="P8" i="5"/>
  <c r="Z8" i="5" s="1"/>
  <c r="Z10" i="5"/>
  <c r="P11" i="5"/>
  <c r="Z11" i="5" s="1"/>
  <c r="P12" i="5"/>
  <c r="Z12" i="5" s="1"/>
  <c r="P14" i="5"/>
  <c r="Z14" i="5" s="1"/>
  <c r="P15" i="5"/>
  <c r="Z15" i="5" s="1"/>
  <c r="P18" i="5"/>
  <c r="P23" i="5"/>
  <c r="Z3" i="4"/>
  <c r="Z4" i="4"/>
  <c r="Z5" i="4"/>
  <c r="Z6" i="4"/>
  <c r="Z7" i="4"/>
  <c r="Z8" i="4"/>
  <c r="Z9" i="4"/>
  <c r="Z10" i="4"/>
  <c r="E36" i="1" l="1"/>
  <c r="E37" i="1"/>
  <c r="R12" i="1" l="1"/>
  <c r="AB12" i="1" l="1"/>
  <c r="AB9" i="1"/>
  <c r="AB8" i="1"/>
  <c r="R6" i="1"/>
  <c r="AB6" i="1" s="1"/>
  <c r="AB7" i="1"/>
  <c r="AB11" i="1"/>
  <c r="AB14" i="1"/>
  <c r="AB15" i="1"/>
  <c r="AB16" i="1"/>
  <c r="AB17" i="1"/>
  <c r="R18" i="1"/>
  <c r="AB18" i="1" s="1"/>
  <c r="AB19" i="1"/>
  <c r="AB20" i="1"/>
  <c r="R21" i="1"/>
  <c r="AB21" i="1" s="1"/>
  <c r="AB24" i="1"/>
  <c r="R25" i="1"/>
  <c r="AB25" i="1" s="1"/>
  <c r="AB26" i="1"/>
  <c r="R28" i="1"/>
  <c r="AB28" i="1" s="1"/>
  <c r="R29" i="1"/>
  <c r="AB29" i="1" s="1"/>
  <c r="AB30" i="1"/>
  <c r="AB31" i="1"/>
  <c r="AB32" i="1"/>
  <c r="R33" i="1"/>
  <c r="AB33" i="1" s="1"/>
  <c r="AB34" i="1"/>
  <c r="R5" i="1"/>
  <c r="AB5" i="1" s="1"/>
  <c r="R4" i="1"/>
  <c r="AB4" i="1" s="1"/>
  <c r="AB10" i="1"/>
  <c r="AB13" i="1"/>
  <c r="AB22" i="1"/>
  <c r="O5" i="1"/>
  <c r="O6" i="1"/>
  <c r="O7" i="1"/>
  <c r="O8" i="1"/>
  <c r="O9" i="1"/>
  <c r="O10" i="1"/>
  <c r="O11" i="1"/>
  <c r="O13" i="1"/>
  <c r="O14" i="1"/>
  <c r="O15" i="1"/>
  <c r="O16" i="1"/>
  <c r="O17" i="1"/>
  <c r="O19" i="1"/>
  <c r="O21" i="1"/>
  <c r="O22" i="1"/>
  <c r="O24" i="1"/>
  <c r="O25" i="1"/>
  <c r="O26" i="1"/>
  <c r="O27" i="1"/>
  <c r="O28" i="1"/>
  <c r="O29" i="1"/>
  <c r="O30" i="1"/>
  <c r="O31" i="1"/>
  <c r="O33" i="1"/>
  <c r="O34" i="1"/>
  <c r="O4" i="1"/>
  <c r="J4" i="1"/>
  <c r="J34" i="1"/>
  <c r="J33" i="1"/>
  <c r="J32" i="1"/>
  <c r="J31" i="1"/>
  <c r="J30" i="1"/>
  <c r="J29" i="1"/>
  <c r="J28" i="1"/>
  <c r="J27" i="1"/>
  <c r="J26" i="1"/>
  <c r="J25" i="1"/>
  <c r="J24" i="1"/>
  <c r="J22" i="1"/>
  <c r="J21" i="1"/>
  <c r="J20" i="1"/>
  <c r="J19" i="1"/>
  <c r="J18" i="1"/>
  <c r="J17" i="1"/>
  <c r="J16" i="1"/>
  <c r="J15" i="1"/>
  <c r="J14" i="1"/>
  <c r="J13" i="1"/>
  <c r="J11" i="1"/>
  <c r="J9" i="1"/>
  <c r="J8" i="1"/>
  <c r="J1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Claudia</author>
    <author>Estefany M</author>
    <author>cont_yarios</author>
  </authors>
  <commentList>
    <comment ref="C4" authorId="0" shapeId="0" xr:uid="{00000000-0006-0000-0000-000001000000}">
      <text>
        <r>
          <rPr>
            <sz val="11"/>
            <color theme="1"/>
            <rFont val="Calibri"/>
            <family val="2"/>
          </rPr>
          <t>Salud Mental:
1 PROFESIONAL</t>
        </r>
      </text>
    </comment>
    <comment ref="C6" authorId="0" shapeId="0" xr:uid="{00000000-0006-0000-0000-000002000000}">
      <text>
        <r>
          <rPr>
            <sz val="11"/>
            <color theme="1"/>
            <rFont val="Calibri"/>
            <family val="2"/>
          </rPr>
          <t xml:space="preserve">Salud Mental:
1 PROFESIONAL
</t>
        </r>
      </text>
    </comment>
    <comment ref="F6" authorId="1" shapeId="0" xr:uid="{7D26B79F-2373-4407-9041-D0D8F4B5C8C0}">
      <text>
        <r>
          <rPr>
            <b/>
            <sz val="9"/>
            <color indexed="81"/>
            <rFont val="Tahoma"/>
            <family val="2"/>
          </rPr>
          <t>Claudia:</t>
        </r>
        <r>
          <rPr>
            <sz val="9"/>
            <color indexed="81"/>
            <rFont val="Tahoma"/>
            <family val="2"/>
          </rPr>
          <t xml:space="preserve">
 75% de casos notificados 106 de casos suicidas y 62 de intoxicaciones</t>
        </r>
      </text>
    </comment>
    <comment ref="G6" authorId="1" shapeId="0" xr:uid="{6FE4AE80-5586-4975-B71F-A64A509382C4}">
      <text>
        <r>
          <rPr>
            <b/>
            <sz val="9"/>
            <color indexed="81"/>
            <rFont val="Tahoma"/>
            <family val="2"/>
          </rPr>
          <t>Claudia:</t>
        </r>
        <r>
          <rPr>
            <sz val="9"/>
            <color indexed="81"/>
            <rFont val="Tahoma"/>
            <family val="2"/>
          </rPr>
          <t xml:space="preserve">
  130 
 casos suicidas y 65 de intoxicaciones</t>
        </r>
      </text>
    </comment>
    <comment ref="H6" authorId="2" shapeId="0" xr:uid="{B3186350-4297-4A55-93C7-F4974FFB9CC0}">
      <text>
        <r>
          <rPr>
            <b/>
            <sz val="9"/>
            <color indexed="81"/>
            <rFont val="Tahoma"/>
            <family val="2"/>
          </rPr>
          <t>64 intoxicaciones e intento de suicida 91</t>
        </r>
      </text>
    </comment>
    <comment ref="Q6" authorId="1" shapeId="0" xr:uid="{00000000-0006-0000-0000-000003000000}">
      <text>
        <r>
          <rPr>
            <b/>
            <sz val="9"/>
            <color indexed="81"/>
            <rFont val="Tahoma"/>
            <family val="2"/>
          </rPr>
          <t>Claudia:</t>
        </r>
        <r>
          <rPr>
            <sz val="9"/>
            <color indexed="81"/>
            <rFont val="Tahoma"/>
            <family val="2"/>
          </rPr>
          <t xml:space="preserve">
 75% de casos notificados 106 de casos suicidas y 62 de intoxicaciones</t>
        </r>
      </text>
    </comment>
    <comment ref="T6" authorId="1" shapeId="0" xr:uid="{598D6E39-FDAB-4179-8F2E-36AD43B343EF}">
      <text>
        <r>
          <rPr>
            <b/>
            <sz val="9"/>
            <color indexed="81"/>
            <rFont val="Tahoma"/>
            <family val="2"/>
          </rPr>
          <t>Claudia:</t>
        </r>
        <r>
          <rPr>
            <sz val="9"/>
            <color indexed="81"/>
            <rFont val="Tahoma"/>
            <family val="2"/>
          </rPr>
          <t xml:space="preserve">
  130 
 casos suicidas y 65 de intoxicaciones</t>
        </r>
      </text>
    </comment>
    <comment ref="C7" authorId="0" shapeId="0" xr:uid="{00000000-0006-0000-0000-000004000000}">
      <text>
        <r>
          <rPr>
            <sz val="11"/>
            <color theme="1"/>
            <rFont val="Calibri"/>
            <family val="2"/>
          </rPr>
          <t>Salud Mental:
1 PROFESIONAL</t>
        </r>
      </text>
    </comment>
    <comment ref="C8" authorId="0" shapeId="0" xr:uid="{00000000-0006-0000-0000-000005000000}">
      <text>
        <r>
          <rPr>
            <sz val="11"/>
            <color theme="1"/>
            <rFont val="Calibri"/>
            <family val="2"/>
          </rPr>
          <t xml:space="preserve">Salud Mental:
4  PROFESIONAL 20 IE priorizadas con Secretaria de Educación con 5 unidades didacticas </t>
        </r>
      </text>
    </comment>
    <comment ref="C9" authorId="0" shapeId="0" xr:uid="{00000000-0006-0000-0000-000006000000}">
      <text>
        <r>
          <rPr>
            <sz val="11"/>
            <color theme="1"/>
            <rFont val="Calibri"/>
            <family val="2"/>
          </rPr>
          <t xml:space="preserve">Salud Mental:
4 PROFESIONAL
dllo de la estrategia 4 componentes </t>
        </r>
      </text>
    </comment>
    <comment ref="C10" authorId="0" shapeId="0" xr:uid="{00000000-0006-0000-0000-000007000000}">
      <text>
        <r>
          <rPr>
            <sz val="11"/>
            <color theme="1"/>
            <rFont val="Calibri"/>
            <family val="2"/>
          </rPr>
          <t xml:space="preserve">Salud Mental 4  y 1 adicional </t>
        </r>
      </text>
    </comment>
    <comment ref="C11" authorId="0" shapeId="0" xr:uid="{00000000-0006-0000-0000-000008000000}">
      <text>
        <r>
          <rPr>
            <sz val="11"/>
            <color theme="1"/>
            <rFont val="Calibri"/>
            <family val="2"/>
          </rPr>
          <t>Salud Mental:
4 PROFESIONAL</t>
        </r>
      </text>
    </comment>
    <comment ref="C13" authorId="0" shapeId="0" xr:uid="{00000000-0006-0000-0000-000009000000}">
      <text>
        <r>
          <rPr>
            <sz val="11"/>
            <color theme="1"/>
            <rFont val="Calibri"/>
            <family val="2"/>
          </rPr>
          <t>Salud Mental:
1 PROFESIONAL</t>
        </r>
      </text>
    </comment>
    <comment ref="C14" authorId="0" shapeId="0" xr:uid="{00000000-0006-0000-0000-00000A000000}">
      <text>
        <r>
          <rPr>
            <sz val="11"/>
            <color theme="1"/>
            <rFont val="Calibri"/>
            <family val="2"/>
          </rPr>
          <t xml:space="preserve">Salud Mental:
4 PROFESIONAL con concentración de 14 sesiones por grupo </t>
        </r>
      </text>
    </comment>
    <comment ref="C15" authorId="0" shapeId="0" xr:uid="{00000000-0006-0000-0000-00000B000000}">
      <text>
        <r>
          <rPr>
            <sz val="11"/>
            <color theme="1"/>
            <rFont val="Calibri"/>
            <family val="2"/>
          </rPr>
          <t>Salud Mental:
4 PROFESIONAL Y 2 TECNICOS</t>
        </r>
      </text>
    </comment>
    <comment ref="C16" authorId="0" shapeId="0" xr:uid="{00000000-0006-0000-0000-00000C000000}">
      <text>
        <r>
          <rPr>
            <sz val="11"/>
            <color theme="1"/>
            <rFont val="Calibri"/>
            <family val="2"/>
          </rPr>
          <t xml:space="preserve">Salud Mental:
4  PROFESIONAL,
</t>
        </r>
      </text>
    </comment>
    <comment ref="C17" authorId="0" shapeId="0" xr:uid="{00000000-0006-0000-0000-00000D000000}">
      <text>
        <r>
          <rPr>
            <sz val="11"/>
            <color theme="1"/>
            <rFont val="Calibri"/>
            <family val="2"/>
          </rPr>
          <t>Salud Mental:
1 COMUNICADOR Y UN PROFESIONAL</t>
        </r>
      </text>
    </comment>
    <comment ref="M17" authorId="3" shapeId="0" xr:uid="{56C885C4-7BB2-4CB1-97A5-F62248322932}">
      <text>
        <r>
          <rPr>
            <b/>
            <sz val="9"/>
            <color indexed="81"/>
            <rFont val="Tahoma"/>
            <charset val="1"/>
          </rPr>
          <t>cont_yarios:</t>
        </r>
        <r>
          <rPr>
            <sz val="9"/>
            <color indexed="81"/>
            <rFont val="Tahoma"/>
            <charset val="1"/>
          </rPr>
          <t xml:space="preserve">
aun no se ha entregado cartilla de nuevas masculinidades </t>
        </r>
      </text>
    </comment>
    <comment ref="C18" authorId="0" shapeId="0" xr:uid="{00000000-0006-0000-0000-00000E000000}">
      <text>
        <r>
          <rPr>
            <sz val="11"/>
            <color theme="1"/>
            <rFont val="Calibri"/>
            <family val="2"/>
          </rPr>
          <t>Salud Mental:
4 PROFESIONAL</t>
        </r>
      </text>
    </comment>
    <comment ref="C20" authorId="0" shapeId="0" xr:uid="{00000000-0006-0000-0000-00000F000000}">
      <text>
        <r>
          <rPr>
            <sz val="11"/>
            <color theme="1"/>
            <rFont val="Calibri"/>
            <family val="2"/>
          </rPr>
          <t>Salud Mental:
2 PROFESIONAL</t>
        </r>
      </text>
    </comment>
    <comment ref="C21" authorId="0" shapeId="0" xr:uid="{00000000-0006-0000-0000-000010000000}">
      <text>
        <r>
          <rPr>
            <sz val="11"/>
            <color theme="1"/>
            <rFont val="Calibri"/>
            <family val="2"/>
          </rPr>
          <t>Salud Mental:
2 PROFESIONAL</t>
        </r>
      </text>
    </comment>
    <comment ref="C22" authorId="0" shapeId="0" xr:uid="{00000000-0006-0000-0000-000011000000}">
      <text>
        <r>
          <rPr>
            <sz val="11"/>
            <color theme="1"/>
            <rFont val="Calibri"/>
            <family val="2"/>
          </rPr>
          <t xml:space="preserve">
13 EAPB en ambos regimenes de MEDIMAS Y ASMETSALUD </t>
        </r>
      </text>
    </comment>
    <comment ref="C23" authorId="0" shapeId="0" xr:uid="{E79511E6-46E8-405A-8D2E-358321872899}">
      <text>
        <r>
          <rPr>
            <sz val="11"/>
            <color theme="1"/>
            <rFont val="Calibri"/>
            <family val="2"/>
          </rPr>
          <t>Salud Mental:
33 ips priorizadas incluye HOMERIS, ISN YPSICO
at integral 
meta de plan territorial</t>
        </r>
      </text>
    </comment>
    <comment ref="C24" authorId="0" shapeId="0" xr:uid="{00000000-0006-0000-0000-000012000000}">
      <text>
        <r>
          <rPr>
            <sz val="11"/>
            <color theme="1"/>
            <rFont val="Calibri"/>
            <family val="2"/>
          </rPr>
          <t>Salud Mental:
33 ips priorizadas incluye HOMERIS, ISN YPSICO</t>
        </r>
      </text>
    </comment>
    <comment ref="C25" authorId="0" shapeId="0" xr:uid="{00000000-0006-0000-0000-000013000000}">
      <text>
        <r>
          <rPr>
            <sz val="11"/>
            <color theme="1"/>
            <rFont val="Calibri"/>
            <family val="2"/>
          </rPr>
          <t xml:space="preserve">Salud Mental
PSICO y CADS no habilitados </t>
        </r>
      </text>
    </comment>
    <comment ref="C26" authorId="0" shapeId="0" xr:uid="{00000000-0006-0000-0000-000014000000}">
      <text>
        <r>
          <rPr>
            <sz val="11"/>
            <color theme="1"/>
            <rFont val="Calibri"/>
            <family val="2"/>
          </rPr>
          <t>Salud Mental:
4 PROFESIONAL</t>
        </r>
      </text>
    </comment>
    <comment ref="C27" authorId="0" shapeId="0" xr:uid="{00000000-0006-0000-0000-000015000000}">
      <text>
        <r>
          <rPr>
            <sz val="11"/>
            <color theme="1"/>
            <rFont val="Calibri"/>
            <family val="2"/>
          </rPr>
          <t>Salud Mental:
4 PROFESIONAL</t>
        </r>
      </text>
    </comment>
    <comment ref="C28" authorId="0" shapeId="0" xr:uid="{00000000-0006-0000-0000-000016000000}">
      <text>
        <r>
          <rPr>
            <sz val="11"/>
            <color theme="1"/>
            <rFont val="Calibri"/>
            <family val="2"/>
          </rPr>
          <t>Salud Mental:
4 PROFESIONAL</t>
        </r>
      </text>
    </comment>
    <comment ref="C29" authorId="0" shapeId="0" xr:uid="{00000000-0006-0000-0000-000017000000}">
      <text>
        <r>
          <rPr>
            <sz val="11"/>
            <color theme="1"/>
            <rFont val="Calibri"/>
            <family val="2"/>
          </rPr>
          <t>Salud Mental:
4 PROFESIONAL</t>
        </r>
      </text>
    </comment>
    <comment ref="C30" authorId="0" shapeId="0" xr:uid="{00000000-0006-0000-0000-000018000000}">
      <text>
        <r>
          <rPr>
            <sz val="11"/>
            <color theme="1"/>
            <rFont val="Calibri"/>
            <family val="2"/>
          </rPr>
          <t>Salud Mental:
4 PROFESIONAL</t>
        </r>
      </text>
    </comment>
    <comment ref="C31" authorId="0" shapeId="0" xr:uid="{00000000-0006-0000-0000-000019000000}">
      <text>
        <r>
          <rPr>
            <sz val="11"/>
            <color theme="1"/>
            <rFont val="Calibri"/>
            <family val="2"/>
          </rPr>
          <t>Salud Mental:
4 PROFESIONAL</t>
        </r>
      </text>
    </comment>
    <comment ref="C32" authorId="0" shapeId="0" xr:uid="{00000000-0006-0000-0000-00001A000000}">
      <text>
        <r>
          <rPr>
            <sz val="11"/>
            <color theme="1"/>
            <rFont val="Calibri"/>
            <family val="2"/>
          </rPr>
          <t>Salud Mental:
4 PROFESIONAL</t>
        </r>
      </text>
    </comment>
    <comment ref="C33" authorId="0" shapeId="0" xr:uid="{00000000-0006-0000-0000-00001B000000}">
      <text>
        <r>
          <rPr>
            <sz val="11"/>
            <color theme="1"/>
            <rFont val="Calibri"/>
            <family val="2"/>
          </rPr>
          <t>Salud Mental:
4 PROFESIONAL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cont_yarios</author>
    <author>Claudia</author>
  </authors>
  <commentList>
    <comment ref="K21" authorId="0" shapeId="0" xr:uid="{B6B94D6E-03EB-43F4-91A8-32BCF89362A9}">
      <text>
        <r>
          <rPr>
            <b/>
            <sz val="9"/>
            <color indexed="81"/>
            <rFont val="Tahoma"/>
            <charset val="1"/>
          </rPr>
          <t>cont_yarios:</t>
        </r>
        <r>
          <rPr>
            <sz val="9"/>
            <color indexed="81"/>
            <rFont val="Tahoma"/>
            <charset val="1"/>
          </rPr>
          <t xml:space="preserve">
en el informe coloco 100% cuantas actividades son ??</t>
        </r>
      </text>
    </comment>
    <comment ref="D23" authorId="1" shapeId="0" xr:uid="{00000000-0006-0000-0200-000001000000}">
      <text>
        <r>
          <rPr>
            <b/>
            <sz val="9"/>
            <color indexed="81"/>
            <rFont val="Tahoma"/>
            <family val="2"/>
          </rPr>
          <t>Claudia:</t>
        </r>
        <r>
          <rPr>
            <sz val="9"/>
            <color indexed="81"/>
            <rFont val="Tahoma"/>
            <family val="2"/>
          </rPr>
          <t xml:space="preserve">
Brote varicela carcel la 40
</t>
        </r>
      </text>
    </comment>
    <comment ref="K23" authorId="0" shapeId="0" xr:uid="{86E4C335-0D83-4B71-8650-A48E3F19E0F7}">
      <text>
        <r>
          <rPr>
            <b/>
            <sz val="9"/>
            <color indexed="81"/>
            <rFont val="Tahoma"/>
            <charset val="1"/>
          </rPr>
          <t>cont_yarios:</t>
        </r>
        <r>
          <rPr>
            <sz val="9"/>
            <color indexed="81"/>
            <rFont val="Tahoma"/>
            <charset val="1"/>
          </rPr>
          <t xml:space="preserve">
brotes COVID poblacion cautiva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Estefany M</author>
  </authors>
  <commentList>
    <comment ref="B23" authorId="0" shapeId="0" xr:uid="{010FF1A4-67AF-4787-8200-5FF015FE789F}">
      <text>
        <r>
          <rPr>
            <b/>
            <sz val="9"/>
            <color indexed="81"/>
            <rFont val="Tahoma"/>
            <family val="2"/>
          </rPr>
          <t>Sale para la progrmación del año 2020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SANDRA YULIET ALZATE BERMUDEZ</author>
  </authors>
  <commentList>
    <comment ref="K12" authorId="0" shapeId="0" xr:uid="{2721BC0D-C2E2-4A13-86AB-4BBD08DCBB25}">
      <text>
        <r>
          <rPr>
            <b/>
            <sz val="9"/>
            <color indexed="81"/>
            <rFont val="Tahoma"/>
            <family val="2"/>
          </rPr>
          <t>SANDRA YULIET ALZATE BERMUDEZ:</t>
        </r>
        <r>
          <rPr>
            <sz val="9"/>
            <color indexed="81"/>
            <rFont val="Tahoma"/>
            <family val="2"/>
          </rPr>
          <t xml:space="preserve">
CAMBIA DATO DICE 47</t>
        </r>
      </text>
    </comment>
    <comment ref="L12" authorId="0" shapeId="0" xr:uid="{3C10BD59-8904-48C4-ACF0-930F3A00DED5}">
      <text>
        <r>
          <rPr>
            <b/>
            <sz val="9"/>
            <color indexed="81"/>
            <rFont val="Tahoma"/>
            <family val="2"/>
          </rPr>
          <t>SANDRA YULIET ALZATE BERMUDEZ:</t>
        </r>
        <r>
          <rPr>
            <sz val="9"/>
            <color indexed="81"/>
            <rFont val="Tahoma"/>
            <family val="2"/>
          </rPr>
          <t xml:space="preserve">
CAMBIAN DATO DICE 56
</t>
        </r>
      </text>
    </comment>
    <comment ref="K16" authorId="0" shapeId="0" xr:uid="{E27F5D4F-DED2-4F97-BB6F-26CD2CE05A57}">
      <text>
        <r>
          <rPr>
            <b/>
            <sz val="9"/>
            <color indexed="81"/>
            <rFont val="Tahoma"/>
            <family val="2"/>
          </rPr>
          <t>SANDRA YULIET ALZATE BERMUDEZ:</t>
        </r>
        <r>
          <rPr>
            <sz val="9"/>
            <color indexed="81"/>
            <rFont val="Tahoma"/>
            <family val="2"/>
          </rPr>
          <t xml:space="preserve">
CAMBIARON DATO DICEN TENER 133</t>
        </r>
      </text>
    </comment>
    <comment ref="L16" authorId="0" shapeId="0" xr:uid="{A24D2261-6615-4C4F-8D45-124F129E8556}">
      <text>
        <r>
          <rPr>
            <b/>
            <sz val="9"/>
            <color indexed="81"/>
            <rFont val="Tahoma"/>
            <family val="2"/>
          </rPr>
          <t>SANDRA YULIET ALZATE BERMUDEZ:</t>
        </r>
        <r>
          <rPr>
            <sz val="9"/>
            <color indexed="81"/>
            <rFont val="Tahoma"/>
            <family val="2"/>
          </rPr>
          <t xml:space="preserve">
CAMBIARON DATO DICEN LLEVAR 49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SANDRA YULIET ALZATE BERMUDEZ</author>
  </authors>
  <commentList>
    <comment ref="B44" authorId="0" shapeId="0" xr:uid="{26E728F0-DC92-4784-B6B3-92850508D7F0}">
      <text>
        <r>
          <rPr>
            <sz val="9"/>
            <color indexed="81"/>
            <rFont val="Tahoma"/>
            <family val="2"/>
          </rPr>
          <t>Cambia la meta por la resolucion 0227 del 20 de febrero de 2020 el cual dice que cambia del 5% al 2,5%
 por lo tanto cambianos de 9.520 sintomaticos a 4.760</t>
        </r>
      </text>
    </comment>
  </commentList>
</comments>
</file>

<file path=xl/sharedStrings.xml><?xml version="1.0" encoding="utf-8"?>
<sst xmlns="http://schemas.openxmlformats.org/spreadsheetml/2006/main" count="1824" uniqueCount="993">
  <si>
    <t xml:space="preserve">Dimensión </t>
  </si>
  <si>
    <t>Programa</t>
  </si>
  <si>
    <t>Indicador</t>
  </si>
  <si>
    <t>Formula</t>
  </si>
  <si>
    <t xml:space="preserve">Resultado </t>
  </si>
  <si>
    <t>PROGRAMADO</t>
  </si>
  <si>
    <t>EJECUTADO</t>
  </si>
  <si>
    <t>Numerador</t>
  </si>
  <si>
    <t>Denominador</t>
  </si>
  <si>
    <t>Realizadas</t>
  </si>
  <si>
    <t>Programadas</t>
  </si>
  <si>
    <t>Cumplimiento</t>
  </si>
  <si>
    <t xml:space="preserve">Liderar el componente de gestion institucional de la Política Municipal de Salud Mental a través del comité  municipal creado para tal fin  </t>
  </si>
  <si>
    <t>I Trimestre</t>
  </si>
  <si>
    <t>Realizar seguimiento epidemiológico al 100% de  los casos priorizados de violencia intrafamiliar,</t>
  </si>
  <si>
    <t>II Trimestre</t>
  </si>
  <si>
    <t xml:space="preserve">Realizar seguimiento epidemiológico al 100% de intoxicaciones e intento de suicidio </t>
  </si>
  <si>
    <t>III Trimestre</t>
  </si>
  <si>
    <t>IV Trimestre</t>
  </si>
  <si>
    <t xml:space="preserve">Realizar 4 unidades de análisis colectivas de violencia intrafamiliar,  intoxicaciones, intento suicidio, suicidio consumado y depresion  </t>
  </si>
  <si>
    <t>Implementar en el 100% de las Instituciones Educativas priorizadas la estrategia de Habilidades para la Vida (Colores para la vida)</t>
  </si>
  <si>
    <t xml:space="preserve">Conformación y/o  mantenimiento de los grupos de Zoonas de escucha en 16 sectores priorizados </t>
  </si>
  <si>
    <t xml:space="preserve">Realizar encuentros pedagogicos para la promoción de la salud mental en el ambito comunitario </t>
  </si>
  <si>
    <t>salud Mental</t>
  </si>
  <si>
    <t xml:space="preserve">Realizar acciones de orientaciòn psicosocial, canalizaciòn y seguimiento a través de la metodología intervencion breve a 700 perosnas </t>
  </si>
  <si>
    <t xml:space="preserve">Acciones de orienatción psicosocial al 100% usuarios que demanden el servicio de escucha activa en la secretaria de salud </t>
  </si>
  <si>
    <t>Spa</t>
  </si>
  <si>
    <t xml:space="preserve">Realizar 4 encuentros de actualizacion en rutas de atencion en salud mental a actores institucionales </t>
  </si>
  <si>
    <t>Conformar 20 grupos de gestores con minimo de 240 sesiones de mantenimiento para mejorar la capacidad de respuesta comunitaria en salud mental</t>
  </si>
  <si>
    <t>Desarrollar el programa familias fuertes con  140 nucleos familiares (con adolecentes entre 10 y 14 años).</t>
  </si>
  <si>
    <t xml:space="preserve">Realizar 100 sesiones de museo del buen trato como estrategia de promoción de la salud mental </t>
  </si>
  <si>
    <t xml:space="preserve">Fortalecimiento de las estrategias IEC de salud mental. </t>
  </si>
  <si>
    <t>Realizar 30 actividades pedagogicas de habilidades para la vida a victimas  de conflicto armado</t>
  </si>
  <si>
    <t>Realizar intervenciones psicoeducativas para educación en derechos y deberes con población indígena</t>
  </si>
  <si>
    <t xml:space="preserve">Realizar dos visitas al año de asistencia técnica al 100% de las EAPB en los componentes de salud mental </t>
  </si>
  <si>
    <t xml:space="preserve">Realizar dos visitas al año de asistencia técnica al 100% de IPS priorizadas con servicios de psicología y psiquiatria en los componentes de salud mental </t>
  </si>
  <si>
    <t xml:space="preserve">Realizar dos visitas al año de asistencia técnica al 100% en CAD habilitado y no habilitados en proceso de atención integral de usuarios comnsumos problemáticos de spa </t>
  </si>
  <si>
    <t>Conformación de una Asociación Defensora de los derechos de pacientes con patologías en salud mental</t>
  </si>
  <si>
    <t>realizar 100 intervenciones de prevención y promoción de la salud mental con poblaciones especiales (privados de la libertad, en proceso de reinserciòn, familias en acción)</t>
  </si>
  <si>
    <t>Realizar 80 actividades pedagogicas en derechos humanos, paz y reconciliacion, nuevas masculinidades, indigena, afrodecendientes, LGTB y lideres de la comunidad.</t>
  </si>
  <si>
    <t>Realizar 150 actividades de educación en salud mental (crianza humanizada) a cuidadores primera infancia y segunda infancia y padres de adolescentes</t>
  </si>
  <si>
    <t xml:space="preserve">Realizar ACOMPAÑAMIENTO Y/O ACTIVIDADES PEDAGÓGICAS con adolescentes, cuidadores, docentes en instituciones educativas publicas y privadas priorizadas para ZOE y ZOU en SPA </t>
  </si>
  <si>
    <t xml:space="preserve">Realizar actividades de sensibilizaciòn en prevenciòn de estigma de enfermedad mental y consumo de SPA a poblaciones priorizadas </t>
  </si>
  <si>
    <t>casos notificados</t>
  </si>
  <si>
    <t>vigilancia</t>
  </si>
  <si>
    <t>convivencia</t>
  </si>
  <si>
    <t>Zonas de escucha</t>
  </si>
  <si>
    <t>familias</t>
  </si>
  <si>
    <t>Realizar 400 Visitas para intervenciones psicosociales familiares a victimas  de conflicto (incluye aplicación de instrumento de tamizaje, orientación y/o canalización) bajo la metodología PAVSIVI</t>
  </si>
  <si>
    <t>asistencia tecnica</t>
  </si>
  <si>
    <t>victimas</t>
  </si>
  <si>
    <t xml:space="preserve">Realizar seguimiento programático  a la gestión del riesgo al 100% de las EAPB para la atención integral del consumo problemático de spa </t>
  </si>
  <si>
    <t xml:space="preserve">Numero de comites programados </t>
  </si>
  <si>
    <t xml:space="preserve">Comites realizados en el periodo evaluado </t>
  </si>
  <si>
    <t>Dimensión</t>
  </si>
  <si>
    <t>Total</t>
  </si>
  <si>
    <t xml:space="preserve">Resultado primer trimestre </t>
  </si>
  <si>
    <t xml:space="preserve">Resultado segundo trimestre </t>
  </si>
  <si>
    <t xml:space="preserve">Resultado tercer trimestre </t>
  </si>
  <si>
    <t xml:space="preserve">Resultado cuarto trimestre </t>
  </si>
  <si>
    <t xml:space="preserve">CUMPLIMIENTO ACUMULADO </t>
  </si>
  <si>
    <t>Acomulado</t>
  </si>
  <si>
    <t xml:space="preserve">Numero de casos  con seguimiento epidemiologico de violencia intrafamiliar </t>
  </si>
  <si>
    <t>Total de casos priorizados sobre violencia intrafamiliar</t>
  </si>
  <si>
    <t xml:space="preserve"> entre 0 y 15 rojo</t>
  </si>
  <si>
    <t>entre 16 y 20 amarillo</t>
  </si>
  <si>
    <t>y mayor a 21 verde</t>
  </si>
  <si>
    <t>Numero de casos con seguimiento epidemiologico de intoxicaciones e intento de suicida</t>
  </si>
  <si>
    <t xml:space="preserve">Total de casos de intoxicaciones e intento de suicidio </t>
  </si>
  <si>
    <t xml:space="preserve">Numero de unidades de analisis colectivas de violencia intrafamiliar,  intoxicaciones, intento suicidio, suicidio consumado y depresion  </t>
  </si>
  <si>
    <t>Total de unidad de analisis programadas</t>
  </si>
  <si>
    <t xml:space="preserve">Numero de instituciones edcativas con estrategia implementada </t>
  </si>
  <si>
    <t xml:space="preserve">Total de instutuciones educativas priorizadas para la estrategia </t>
  </si>
  <si>
    <t>Total de grupos de zonas de escucha priorizadas</t>
  </si>
  <si>
    <t xml:space="preserve">Numero de grupos conformados de zonas de escucha </t>
  </si>
  <si>
    <t xml:space="preserve">Numeros de encuentros pedagogicos realizados </t>
  </si>
  <si>
    <t>Total de encuentros pedagogicos programados</t>
  </si>
  <si>
    <t>Numero de acciones de orientacion psicosocial de intervenciones breves realizadas</t>
  </si>
  <si>
    <t>Numero de acciones de orientacion psicosocial de usurios que demanden el servicio de escucha activa realizada</t>
  </si>
  <si>
    <t xml:space="preserve">Numero de encuentros de actualizacion en rutas de atencion en salud mental realizadas </t>
  </si>
  <si>
    <t>Total de acciones de orientacion psicosocial de intervenciones breves programadas</t>
  </si>
  <si>
    <t>Total de acciones de orientacion psicosocial de usurios que demanden el servicio de escucha activa programadas</t>
  </si>
  <si>
    <t xml:space="preserve">Total de encuentros de actualizacion en  rutas de atencion en salud mental programadas </t>
  </si>
  <si>
    <t xml:space="preserve">Total de programas desarrollados en familias fuertes </t>
  </si>
  <si>
    <t>Realizar 240 sesiones de mantenieminto para mejorar la capacidad de respuesta comunitaria en salud mental para grupo de gestores</t>
  </si>
  <si>
    <t>Total de sesiones realizadas con las programadas</t>
  </si>
  <si>
    <t xml:space="preserve">Realizar 140 nucleos familaires a traves de programas desarrollados en familias fuertes </t>
  </si>
  <si>
    <t>Realizar 100 sesiones de museo del buen trato en promocion de la salud mental</t>
  </si>
  <si>
    <t xml:space="preserve">Total de sesiones programadas de museo del buen trato en ppromocion de la salud mental </t>
  </si>
  <si>
    <t xml:space="preserve">Realizar 400 visitas atraves de interverciones psicosociales familiares a victimas de conflicto </t>
  </si>
  <si>
    <t xml:space="preserve">Total de vistas programadas en intervenciones psicosociales de familiares a victimas de conflicto </t>
  </si>
  <si>
    <t>Estrategia IEC</t>
  </si>
  <si>
    <t>Realizar 20 a los grupos de gestores victimas de conflicto para mejorar la capacidad de respuesta comunitaria en salud mental</t>
  </si>
  <si>
    <t>Numero de sesiones de mantenimiento realizadas</t>
  </si>
  <si>
    <t>Numero de sesiones de mantenimiento Programadas</t>
  </si>
  <si>
    <t>Numero de actividades pedagogicas de habilidades para la vida realizadas</t>
  </si>
  <si>
    <t>Total de actividades programadas</t>
  </si>
  <si>
    <t xml:space="preserve">Numero de intervenciones psicoeducativas para educacion realizadas </t>
  </si>
  <si>
    <t>Numero de visitas realizadas de asistencia tecnica de las EAPB</t>
  </si>
  <si>
    <t>Total de intervenciones programadas</t>
  </si>
  <si>
    <t xml:space="preserve">Total de visitas programadas </t>
  </si>
  <si>
    <t xml:space="preserve">Numero de visitas realizadas de asistencia tecnica de IPS priorizadas </t>
  </si>
  <si>
    <t xml:space="preserve">Numero de visitas realizadas en asistencia tecnica en CADhabilitado y no habiitado </t>
  </si>
  <si>
    <t>Conformación programada de una Asociación Defensora de los derechos de pacientes con patologías en salud mental</t>
  </si>
  <si>
    <t xml:space="preserve">Realizar 100 intervenciones de prevencion y promocion de la salud mental </t>
  </si>
  <si>
    <t>Numero de actividades pedagogicas en derechos humanos realizadas</t>
  </si>
  <si>
    <t>Numero de actividades de educacaion  en salud metal realizadas</t>
  </si>
  <si>
    <t xml:space="preserve">Numero de acompañamientos y/o actividades pedagogicas realizadas </t>
  </si>
  <si>
    <t>Numero de actividades de sensibilizacion en consumo de sustancias emergentes realizadas</t>
  </si>
  <si>
    <t xml:space="preserve">Numero de seguimientos programaticos a la gestion del riesgo realizados </t>
  </si>
  <si>
    <t xml:space="preserve">Total de seguimientos programados </t>
  </si>
  <si>
    <t>Numero de actividades de sensibilizacion en prevencion de estigma de enfermedad mental realizadas</t>
  </si>
  <si>
    <t xml:space="preserve">Realizar 100 actividades de SENSIBILIZACION en consumo de sustancias emergentes, uso racional de medicamentos y sustancias psicoactivas legales en escuelas, colegios universidades, empresas publico privadas, ips y poblaciòn general </t>
  </si>
  <si>
    <t xml:space="preserve">Numero de productos en rojo </t>
  </si>
  <si>
    <t xml:space="preserve">numero de productos en verde </t>
  </si>
  <si>
    <t>Implementación de la estrategia de reduccón de daños para usadores de heroína y otras sustancias psicoactivas (Incluye entrega de material higienico, educacion en prevencion de sobre dosis e inyeccion segura y acompañamiento psicosocial).</t>
  </si>
  <si>
    <t>Cumplimiento total</t>
  </si>
  <si>
    <t xml:space="preserve">Entre 0 y 70 Rojo </t>
  </si>
  <si>
    <t>Entre 71 y 90 Amarillo</t>
  </si>
  <si>
    <t>91 y 100 Verde</t>
  </si>
  <si>
    <t>Semaforizacion de cumplimiento total</t>
  </si>
  <si>
    <t>Semaforizacion trimestral</t>
  </si>
  <si>
    <t xml:space="preserve">Observación </t>
  </si>
  <si>
    <t>Asistencia Tecnica ESE Salud Pereira en el componente del Sistema  Obligatorio de Garantía de la Calidad SOGC, Implementación del Programa de Seguridad del Paciente y Política de humanización</t>
  </si>
  <si>
    <t>Visitas realizadas</t>
  </si>
  <si>
    <t>IPS Habilitadas ESE Salud Pereira</t>
  </si>
  <si>
    <t>20 SEDES (2 VISITAS EN EL AÑO)</t>
  </si>
  <si>
    <t>Asistencia Tecnica IPS  en el componente del Sistema  Obligatorio de Garantía de la Calidad SOGC, Implementación del Programa de Seguridad del Paciente y Política de humanización</t>
  </si>
  <si>
    <t>Total de Prestadores en el mun municipio de Pereira</t>
  </si>
  <si>
    <t>257 IPS (1 VISITA EN EL AÑO)</t>
  </si>
  <si>
    <t>Asistencia Tecnica EAPB  en el componente del Sistema  Obligatorio de Garantía de la Calidad SOGC, Implementación del Programa de Seguridad del Paciente y Política de humanización</t>
  </si>
  <si>
    <t>Total de EAPB con usarios en el municpio de Pereira</t>
  </si>
  <si>
    <t>13 EAPB ( 2 VISITAS EN EL AÑO)</t>
  </si>
  <si>
    <t>Semana de Humanización de la Salud (Acuerdo 045 de 2017 - (Mes de Julio)</t>
  </si>
  <si>
    <t>1 SEMANA ( EN ESTA SEMANA SE REALIZAN VARIAS ACTIVIDADES EN LA CUAL ESTAN VINCULADAS LAS IPS PUBLICAS Y PRIVADAS, EAPB  Y OTROS ACTORES)</t>
  </si>
  <si>
    <t>Visitas de seguimiento a los comites de infecciones de las IPS  públicas y privadas</t>
  </si>
  <si>
    <t>10 IPS ( 2 VISITAS EN EL AÑO)</t>
  </si>
  <si>
    <t>Seguimiento y acampañamiento a los    servicios de Urgencias, Obstetricia, UCI adultos, Internación Psiquiatria, Internación general adultos, Internación pediatria, UCI pediatria (43 servicios)</t>
  </si>
  <si>
    <t>servicios de Urgencias, Obstetricia, UCI adultos, Internación Psiquiatria, Internación general adultos, Internación pediatria, UCI pediatria</t>
  </si>
  <si>
    <t>43 SERVICIOS ( 2 VISITAS EN EL AÑO)</t>
  </si>
  <si>
    <t xml:space="preserve">Asistencia técnica   IPS públicas y privadas que en el  componente binomio madre - hijo </t>
  </si>
  <si>
    <t>Ips con atención de parto</t>
  </si>
  <si>
    <t>5 IPS (2 VISITAS EN EL AÑO)- ATENCIÓN DEL PARTO</t>
  </si>
  <si>
    <t xml:space="preserve">Adherencia por parte de las IPS a los protocolos, guías de atención o guías de práctica clínica de los eventos de interés en salud pública priorizados </t>
  </si>
  <si>
    <t>Realizados</t>
  </si>
  <si>
    <t>EVENTOS DE INTERES PRIORIZADOS Y EVALUADOS</t>
  </si>
  <si>
    <t>12 EVENTOS DE INTERES PRIORIZADOS Y EVALUADOS (DENGUE- RABIA - INTOXICACIONES POR SUSTANCIAS QUIMICAS - MALARIA - IRAGI - VIH - ATENCIÓN DEL PARTO - ATENCIÓN DEL RECIEN NACIDO - EPOC - HTA - DEPRESIÓN - INTENTO SUICIDA -</t>
  </si>
  <si>
    <t>Asesoria y soporte a demanda  en aplicativo SIVIGILA al 100% de UPGD y UI caracterizadas</t>
  </si>
  <si>
    <t xml:space="preserve">Capacitacion anual en investigacion y control de brotes al equipo de respuesta inmediata del municipio según lineamientos </t>
  </si>
  <si>
    <t>Numero de UPGD priorizada con positividad y volumen de notificacion con acat de visita de asistencia tecnica</t>
  </si>
  <si>
    <t>Numero de UPGD priorizadas con positividad y volumen de notificacion del municipio de Pereira</t>
  </si>
  <si>
    <t>Numero de IPS certificadoras de hechos vitales del municipo con 2 visitas de asistencia tecnica</t>
  </si>
  <si>
    <t>numero de Ips certificadoras de hechos vitales del municipio</t>
  </si>
  <si>
    <t>numero de UPGD/UI con 4 periodos epidemiologicos con notificacion negativa con asistencia tecnica y BAI</t>
  </si>
  <si>
    <t>numero UPGD/UI con 4 periodos epidemiologicos con notificacion negativa</t>
  </si>
  <si>
    <t>Total de eventos de interes en salud publica con mortalidad con obligacion de UDA según lineamiento INS</t>
  </si>
  <si>
    <t>Numero COVEs realizados con socializacion de eventos de interes en salud publica</t>
  </si>
  <si>
    <t>Numero COVEs programados con socializacion de eventos de interes en salud publica</t>
  </si>
  <si>
    <t>Numero UPGD/UI caracterizadas con asesoria y soporte en SIVIGILA</t>
  </si>
  <si>
    <t>Numero de UPGD/UI caracterizadas en el sistema SIVIGILA</t>
  </si>
  <si>
    <t>numero de certificados de defuncion y nacimientos con evaluacion en calidad del dato</t>
  </si>
  <si>
    <t>Numero de hechos vitales (Defunciones y nacimientos) registrados en el sistema RUAF-ND</t>
  </si>
  <si>
    <t>numero  de periodos epidemiologicos con critica en calidad a eventos de interes en salud publica</t>
  </si>
  <si>
    <t xml:space="preserve">total de periodos epidemiologicos con notificacion de eventos de interes en salud publica </t>
  </si>
  <si>
    <t>sistema SISAP con contrato de soporte y mantenimiento</t>
  </si>
  <si>
    <t>numero de actualizaciones a indicadores epidemiologicos objeto de plan de desarrollo</t>
  </si>
  <si>
    <t>numero de avances y seguimiento a planes trimestrales</t>
  </si>
  <si>
    <t>numero de IPS/prestadors independiente con servicios de laboratorios clinico con acta de visita de asistencia tecnica</t>
  </si>
  <si>
    <t xml:space="preserve">numero de IPS/prestadores independientes con servicios de laboratorio clinico habilitado </t>
  </si>
  <si>
    <t>numero de brotes con investigacion epidemiologica de campo</t>
  </si>
  <si>
    <t>total de brotes ocurridos en el municipio de Pereira</t>
  </si>
  <si>
    <t>Factores de riesgo por el consumo de alimentos y bebidas ( Alimentos)</t>
  </si>
  <si>
    <t>Agua y saneamiento</t>
  </si>
  <si>
    <t xml:space="preserve">Riesgo Quimico </t>
  </si>
  <si>
    <t>Riesgo Laboral</t>
  </si>
  <si>
    <t xml:space="preserve">Capacitar manipuladores de alimentos con el fin de garantizar la inocuidad de los mismos y aumentar la seguridad de alimentos preparados en el municipio de Pereira </t>
  </si>
  <si>
    <t>Realizar   Inpeccion, Vigilancia y Control  al 100% de los puntos de servido de programa de Alimentacion escolar</t>
  </si>
  <si>
    <t xml:space="preserve">Realizar acciones de Inspección, vigilancia y control  con enfoque  alto riesgo epidemiologico en el 100% de los establecimiento de: carnes de bovinos , porcinos y derivados  carnicos  , aves, huevos  pescado moluscosa  y crustaseos , lacteos  y derivados),   </t>
  </si>
  <si>
    <t>Realizar acciones de IVC al 100% de los establecimientosde priorizados de preparacion y consumo de alimentos: restaurantes, cafeteras, panaderias, comidas rapidas ventas estacionarias y ambulantes  de alimentos</t>
  </si>
  <si>
    <t>Realizar visitas de Inspección, vigilancia y control sanitaria al 100% de los sistemas de suministro de agua para consumo humano en los indices de IRABA (indice de riesgo por abastecimiento)  y BPS( buenas practicas sanitarias)</t>
  </si>
  <si>
    <t xml:space="preserve">Realizar análisis fisicoquímico y microbiologico al agua para consumo humano en la zona Urbana y Rural al 100% de los sistemas de suminitro </t>
  </si>
  <si>
    <t xml:space="preserve">Elaboracion de los mapas de riesgo de calidad del agua para consumo humano al 100% de los sistemas de suminitro. </t>
  </si>
  <si>
    <t>Realizar acciones de IVC al 100% de los establecimientos priorizados de tipo comerciales (hoteles, moteles, residencias, gimnasios, lavautos, parqueaderos)</t>
  </si>
  <si>
    <t>Realizar acciones de IVC al 100% de los establecimientosde priorizados de tipo industriales (EDS, talleres, ebanisteria, metalurigias, talleres de pintura, industrias de manofactura)</t>
  </si>
  <si>
    <t xml:space="preserve">
Realizar acciones de IVC  al 100% de los talleres opticos y opticas sin consultorio</t>
  </si>
  <si>
    <t>Realizar acciones de IVC al 100% de los vasos de Piscina de uso público y restringido</t>
  </si>
  <si>
    <t>Realizar acciones de IVC al 100% de los  establecimientos priorizados de tipo comerciales clasificados como pequeños generadores de residuos hospitalarios y similares ( peluquería, Centros de estética corporal y facial, Salas de belleza, centros de Tatuajes, Consultorios de trabajadores independientes Médicos y Odontológicos, funerarias, cementerios, morgues y laboratorios de tanatoproaxia)</t>
  </si>
  <si>
    <t>Realizar acciones de IVC al 100% de las IPS identificadas en el REPS</t>
  </si>
  <si>
    <t xml:space="preserve">Realizar aciones de IVC al 100% de los establecimientos dedicados al almacenamiento comercializacion y preparacion de quimicos y plaguicidas </t>
  </si>
  <si>
    <t xml:space="preserve">Realizar 500 Pruebas de acetilcolinesterasa en sangre a personas expuestas a plaguicidas organofosforadosy carbamatos </t>
  </si>
  <si>
    <t>Realizar Visitas a fincas y predios con cultivos donde se aplican plaguicidas con contenido de organofosforados y carbamatos.</t>
  </si>
  <si>
    <t>Realizar pruebas para determinar los residuos de plaguicidas organofosforados y carbamatos en aguas del 100% de los sistemas de suministro rurales.</t>
  </si>
  <si>
    <r>
      <t xml:space="preserve">Capacitar y sensibilizar  aplicadores y poblacion en general en el manejo y uso de sustancias químicas y riesgos asociados a estas </t>
    </r>
    <r>
      <rPr>
        <b/>
        <sz val="9"/>
        <color indexed="8"/>
        <rFont val="Arial"/>
        <family val="2"/>
      </rPr>
      <t xml:space="preserve"> </t>
    </r>
  </si>
  <si>
    <t>Formulación del programa de intervención del riesgo laboral para los sectores priorizados anualmente</t>
  </si>
  <si>
    <t>Realizar panorama de factores de riesgo del sector informal en el área priorizada anualmente</t>
  </si>
  <si>
    <t>Numero de Puntos de servido Visitados</t>
  </si>
  <si>
    <t>Numero de establecimientos visitados</t>
  </si>
  <si>
    <t>Numero de sistemas de suministro visitados</t>
  </si>
  <si>
    <t>Numero de muestras tomadas en sistemas de suministro</t>
  </si>
  <si>
    <t>Numero de pruebas realizadas</t>
  </si>
  <si>
    <t>Numero de visitas a predios</t>
  </si>
  <si>
    <t xml:space="preserve">Numero de personas capacitadas </t>
  </si>
  <si>
    <t xml:space="preserve">Numero de personas intervenidas en promocion y prevencion </t>
  </si>
  <si>
    <t>Realizar 896 acciones de fortalecimiento de estilos de vida saludable para prevención y control de factores de riesgo cardiometabólicos en los 16 nodos CARMEN</t>
  </si>
  <si>
    <t>Realizar actualizacion continua al  100%   del  Registro de Localizacion y Caracterizacion de las Personas Con Discapacidad.</t>
  </si>
  <si>
    <t>Realizar 200  acciones de apoyo a la estrategia de atención primaria en salud a través de sesiones de elaboración de planes de estimulación en el hogar y en el ámbito barrial de la poblacion priorizada con discapacidad.</t>
  </si>
  <si>
    <t>Realizar  visitas dos veces al año al 100% de  EAPB para la verificacion del cumplimineto de la normatividad en funcion de discapacidad.</t>
  </si>
  <si>
    <t>Realizar  visitas dos veces al año al 100% de   IPS  para la verificacion del cumplimineto de la normatividad en funcion de discapacidad.</t>
  </si>
  <si>
    <t>Realizar minimo 2  visitas al año de asistencia técnica al 100% de Centros de Proteccion Social Para el adulto Mayor  y centros vida  frente a la atención integral del adulto mayor</t>
  </si>
  <si>
    <t>Realizar  actividades de promoción y prevención para mejorar la calidad de vida del adulto mayor en el 100% de los Centros de Proteccion Social Para el Adulto Mayor  y Centros Vida  y grupos de adulto mayor.</t>
  </si>
  <si>
    <t>Realizar visitas de asitencia tecnica 2 veces al año al 100% de las  EAPB  que oferten los servicios y/o programas  HTA, DM, ERC, CA PROSTATA, CA PULMON, CA COLON Y RECTO, EPOC, SALUD VISUAL Y AUDITIVA, cesacion del consumo de tabaco, para verificar el cumplimiento de la normatividad y gestión.</t>
  </si>
  <si>
    <t>Realizar visitas de asitencia tecnica 2 veces al año al 100% de las  IPS  que oferten los servicios y/o programas  HTA, DM, ERC, CA PROSTATA, CA PULMON, CA COLON Y RECTO, EPOC, SALUD VISUAL Y AUDITIVA, cesacion del consumo de tabaco, para verificar el cumplimiento de la normatividad y gestión.</t>
  </si>
  <si>
    <t>Realizar visitas a 30 empresas para promoción tamizaje de próstata en población mayor de 40 años laboralmente activa</t>
  </si>
  <si>
    <t>Acciones realizadas</t>
  </si>
  <si>
    <t>total dea cciones programadas</t>
  </si>
  <si>
    <t>numero de personas atendidas</t>
  </si>
  <si>
    <t xml:space="preserve">numero de registros realizados en el sistema </t>
  </si>
  <si>
    <t>numero de instituciones educativas donde se realizan las acciones</t>
  </si>
  <si>
    <t xml:space="preserve">numero total de intituciones educativas priorizadas </t>
  </si>
  <si>
    <t>acciones realizadas</t>
  </si>
  <si>
    <t>total de acciones programadas</t>
  </si>
  <si>
    <t>visitas realizadas</t>
  </si>
  <si>
    <t xml:space="preserve">total de visitas programadas </t>
  </si>
  <si>
    <t>numero de actividades realizadas en los cpsam</t>
  </si>
  <si>
    <t>total de CPSAM programados</t>
  </si>
  <si>
    <t>numero de visitas realizadas a empresas</t>
  </si>
  <si>
    <t xml:space="preserve">total de empresas programadas </t>
  </si>
  <si>
    <t>DIMENSIÓN_FORTALECIMIENTO_DE_LA_AUTORIDAD_SANITARIA_PARA_LA_GESTIÓN_EN_SALUD</t>
  </si>
  <si>
    <t>Salud pública y social</t>
  </si>
  <si>
    <t>Asistencia técnica a las  EAPB  subsidiadas y con movilidad</t>
  </si>
  <si>
    <t>Visitas programadas</t>
  </si>
  <si>
    <t>Auditorias integrales  a las  EAPB subsidiadas y con movilidad, según Circular 001 del 2020</t>
  </si>
  <si>
    <t>auditorias realizadas</t>
  </si>
  <si>
    <t>auditorias programadas</t>
  </si>
  <si>
    <t>Actualización de novedades de las EAPB</t>
  </si>
  <si>
    <t>actualizaciones realizadas</t>
  </si>
  <si>
    <t>actualizaciones programadas</t>
  </si>
  <si>
    <t>Reporte de  listados de población elegible a las EAPB</t>
  </si>
  <si>
    <t>Resportes realizados</t>
  </si>
  <si>
    <t>Reportes programados</t>
  </si>
  <si>
    <t xml:space="preserve">Garantía de acceso al primer nivel de
atención en salud de población pobre no asegurada
</t>
  </si>
  <si>
    <t>Población PPNA atendida</t>
  </si>
  <si>
    <t>Población PPNA</t>
  </si>
  <si>
    <t>Ferias Sociales de la Salud en el Municipio de Pereira</t>
  </si>
  <si>
    <t>Ferias realizadas</t>
  </si>
  <si>
    <t>Ferias programadas</t>
  </si>
  <si>
    <t>Acciones de fortalecimiento  a veedurías en salud, Copacos y Asociaciones de Usuarios</t>
  </si>
  <si>
    <t>Acciones programadas</t>
  </si>
  <si>
    <t>Conformación y legalización de veeduría en salud</t>
  </si>
  <si>
    <t>Veeduría conformada</t>
  </si>
  <si>
    <t>Veeduria programada</t>
  </si>
  <si>
    <t>Acciones de  mantenimiento a grupos  del Plan de Renovación</t>
  </si>
  <si>
    <t>Mantener y fortalecer la estrategia del defensor de la salud.</t>
  </si>
  <si>
    <t xml:space="preserve">número de acciones de fortalecimiento de la estrategia del defensor de la salud programadas </t>
  </si>
  <si>
    <t>Acciones ejecutadas</t>
  </si>
  <si>
    <t>Actividades  de promoción a la afiliación al Régimen Subsidiado en Salud, Deberes y Derechos  al SGSSS.</t>
  </si>
  <si>
    <t>Actividades realizadas</t>
  </si>
  <si>
    <t>Actividades programadas</t>
  </si>
  <si>
    <t xml:space="preserve">Orientación a las personas que solicitan atención en el SAC
</t>
  </si>
  <si>
    <t>Atenciones programadas</t>
  </si>
  <si>
    <t>Atenciones ejecutadas</t>
  </si>
  <si>
    <t>Afiliación de Población  identificada a través de listados censales.</t>
  </si>
  <si>
    <t>Población especial afiliada</t>
  </si>
  <si>
    <t>Cartas de afiliación generadas</t>
  </si>
  <si>
    <t>dependiendo del requerimiento de las EAPB para cruces de bases de datos</t>
  </si>
  <si>
    <t>una actualización incluye todas las novedades (nacimientos, fallecidos, traslados, traslados etc)</t>
  </si>
  <si>
    <t>RUTA MATERNO PERINATAL</t>
  </si>
  <si>
    <t xml:space="preserve"> Realizar  visitas de vigilancia epidemiológica al 100% de mortalidad materna  de acuerdo con los lineamientos del INS</t>
  </si>
  <si>
    <t>Número de Visitas realizadas</t>
  </si>
  <si>
    <t>Númerode muertes presentadas en el periodo informado</t>
  </si>
  <si>
    <t>Realizar unidades de análisis al 100% de los casos de mortalidad materna y transmision vertical de VIH, y hepatitis B</t>
  </si>
  <si>
    <t>Número de unidades de análisis realizadas</t>
  </si>
  <si>
    <t>Número de muertes presentadas</t>
  </si>
  <si>
    <t xml:space="preserve"> Realizar  visitas de vigilancia epidemiológica a los casos de mortalidad perinatal de acuerdo con los lineamientos del INS</t>
  </si>
  <si>
    <t>Número de muertes presentadas en el periodo informado</t>
  </si>
  <si>
    <t xml:space="preserve">Realizar seguimiento epidemiológico al 100% de casos notificados por SIVIGILA como sífilis gestacional y congénita </t>
  </si>
  <si>
    <t>Realizar unidades de análisis al 100% casos  sífilis congénita</t>
  </si>
  <si>
    <t xml:space="preserve">Realizar seguimiento epidemiológico al 100% de casos de gestantes con VIH y recien nacidos expuestos </t>
  </si>
  <si>
    <t>Número de seguimientos realizados</t>
  </si>
  <si>
    <t>Realizar mínimo 2 veces al año visitas de asistencia técnica las  IPS  para verificar el cumplimiento de la normatividad frente  a la ruta integral de atención en salud para la población materno perinatal</t>
  </si>
  <si>
    <t>JOVEN</t>
  </si>
  <si>
    <t>Número de visitas programadas en el periodo informado</t>
  </si>
  <si>
    <t>ITS -VIH</t>
  </si>
  <si>
    <t>Realizar  unidades de análisis colectiva para el componente de VIH, con frecuencia trimestral</t>
  </si>
  <si>
    <t>Realizar mínimo 2 veces al año  visitas de asistencia técnica a las IPS  para verificar la atención integral en VIH</t>
  </si>
  <si>
    <t>Realizar mínimo 2 veces al año, visitas de asistencia técnica para el fortalecimiento de las acciones programaticas  VIH para la población carcelaria y/o reintegrada, con frecuencia bimensual</t>
  </si>
  <si>
    <t>Realizar seguimiento al 100% usuarios no adherentes al tratamiento de VIH, reportados por las IPS y EPS (90/90/90)</t>
  </si>
  <si>
    <t xml:space="preserve">Realizar seguimiento epidemiológico al 100% de casos de Hepatitis B, C y coinfección Delta, en población general notificados en SIVIGILA </t>
  </si>
  <si>
    <t xml:space="preserve">Realizar promocion de diagnóstico temprano de VIH en poblaciones clave, vulnerables  población general </t>
  </si>
  <si>
    <t>Número de pruebas realizadas</t>
  </si>
  <si>
    <t>Desarrollar una estretagia de infomación, educación y comunicación para la prevención y diagnóstico oportuno del VIH/SIDA</t>
  </si>
  <si>
    <t xml:space="preserve">Estrategia IEC desarrollada </t>
  </si>
  <si>
    <t>CÁNCER DE MAMA Y CÉRVIX</t>
  </si>
  <si>
    <t>Realizar minimo 2 veces al año visitas a las  IPS para verificar normatividad frente a la operación del programa de  cáncer de mama y cérvix</t>
  </si>
  <si>
    <t>Número de casos reportados en el periodo informado</t>
  </si>
  <si>
    <t xml:space="preserve">Realizar jornadas de prevencion en Cáncer de mama y cervix a nivel institucional y empresarial </t>
  </si>
  <si>
    <t xml:space="preserve">Número de jornadas realizadas </t>
  </si>
  <si>
    <t>VIOLENCIA SEXUAL</t>
  </si>
  <si>
    <t>Realizar visitas de primera vez y verificacion al 100% de las  IPS con servicios de Urgencias para verificar el cumplimiento de la normatividad frente a la atención a victimas de violencia sexual</t>
  </si>
  <si>
    <t xml:space="preserve">Realizar actividades educativas para fomentar la estrategia CAIVAS  y CAVIF,  como herramientas sociales de restablecimientos de derechos vulnerados por violencia  sexual e intrafamiliar. </t>
  </si>
  <si>
    <t>Número de actividades realizadas</t>
  </si>
  <si>
    <t>POBLACIONES CLAVE</t>
  </si>
  <si>
    <t>Realizar actividades de educación en salud y movilización social en grupos como trabajadoras sexuales, comunidad LGTB, habitantes de calles, entre otros.</t>
  </si>
  <si>
    <t>ACCIONES COMUNITARIAS CASA SANA</t>
  </si>
  <si>
    <t>Realizar acciones de canalización para asistencia a control prenatal al 100% de gestantes identificas en las zonas intervenidas por estrategia de atención primaria en salud.</t>
  </si>
  <si>
    <t>Número de canalizaciones realizadas</t>
  </si>
  <si>
    <t>Número de grupos de adolescentes conformados</t>
  </si>
  <si>
    <t>Realizar canalizaciones para asistencia a planificación familiar  en zonas intervenidas por estrategia de atención primaria en salud.</t>
  </si>
  <si>
    <t>Realizar canalizaciones  para realización de citología en zonas intervenidas por estrategia de atención primaria en salud.</t>
  </si>
  <si>
    <t>Realizar canalizaciones  para realización de mamografía en zonas intervenidas por la estrategia de atención primaria en salud.</t>
  </si>
  <si>
    <t>Mantener la estrategia IEC para prevención de embarazo a temprana edad</t>
  </si>
  <si>
    <t>Programar</t>
  </si>
  <si>
    <t>2000 pruebas programadas</t>
  </si>
  <si>
    <t>1 Estrategia IEC programada para todo el año</t>
  </si>
  <si>
    <t>40 jornadas programadas para el 2020</t>
  </si>
  <si>
    <t>Actividades realziadas en el mes de julio</t>
  </si>
  <si>
    <t>Actividades programdas en el mes de Julio</t>
  </si>
  <si>
    <t>Visitas Programadas</t>
  </si>
  <si>
    <t>numero de reportes trimestrales en RIPS y res 4505ejecutados a ministerio y SISAP deptal</t>
  </si>
  <si>
    <t>numero de reportes trimestrales en RIPS y res 4505 programados a ministerio y SISAP deptal</t>
  </si>
  <si>
    <t>numero de boletines epidemiologicos elaborados y difundidosprogramados</t>
  </si>
  <si>
    <t>numero de boletines epidemiologicos elaborados y difundidos  realizados</t>
  </si>
  <si>
    <t>Documento de analisis de situacion de salud (ASIS) municipal según lineamientos del Ministerio de Salud y proteccion social actualizado progrmados</t>
  </si>
  <si>
    <t>Documento de analisis de situacion de salud (ASIS) municipal según lineamientos del Ministerio de Salud y proteccion social actualizado ejecutados</t>
  </si>
  <si>
    <t>Numero de capacitaciones en investogacion y control de brotes al equipo de respuesta inmediata del municipio realizadas</t>
  </si>
  <si>
    <t>Numero de capacitaciones en investogacion y control de brotes al equipo de respuesta inmediata del municipio realizadas programadas</t>
  </si>
  <si>
    <t xml:space="preserve">Numero de personas programadas para la capacitacion de manipulacion de alimentos </t>
  </si>
  <si>
    <t>Numero de capacitadas realizadas a personas en manipulacion de alimentos</t>
  </si>
  <si>
    <t xml:space="preserve">Numero de puntos de servicios programados </t>
  </si>
  <si>
    <t>Numero de plantas de alimentacion escolar visitadas</t>
  </si>
  <si>
    <t xml:space="preserve">Numero de platas de alimentacion escolar programadas </t>
  </si>
  <si>
    <t xml:space="preserve">Numero de establecimientos programados </t>
  </si>
  <si>
    <t xml:space="preserve">Numero de establecimeintos programados </t>
  </si>
  <si>
    <t>Numero de sistema de suministro programados</t>
  </si>
  <si>
    <t xml:space="preserve">Numero de muestras programadas en sistema de suministro </t>
  </si>
  <si>
    <t xml:space="preserve">Numero de sistemas de suministros programados </t>
  </si>
  <si>
    <t xml:space="preserve">Numero de pruebas programadas </t>
  </si>
  <si>
    <t xml:space="preserve">Numero de visitas a predios programadas </t>
  </si>
  <si>
    <t>Numero de sistemas de suministro con analisis de residuos para plaguicidas organofosforados y carbamatos</t>
  </si>
  <si>
    <t>Numero de sistema de suministro programados con analisis de residuos para plaguicidas organofosrados y carbamatos</t>
  </si>
  <si>
    <t xml:space="preserve">Numero de personas capacitadas programadas </t>
  </si>
  <si>
    <t>Formulacion de intervenciones</t>
  </si>
  <si>
    <t>Numero de personas caracterizadas realizadas</t>
  </si>
  <si>
    <t xml:space="preserve">Numero de personas programas para intervenciones en promocion y prevencion </t>
  </si>
  <si>
    <t xml:space="preserve">panoma de peligros y riesgo programados </t>
  </si>
  <si>
    <t>Panorama de peligros y riesgos realizado</t>
  </si>
  <si>
    <t>Programa formulado de intervenciones</t>
  </si>
  <si>
    <t>desde el 23 de marzo de 2020, no se sigueron realizando capacitaciones por medidas de control de contagio de acovid-19</t>
  </si>
  <si>
    <t>desde el 16 de marzo no se encuentran abiertas las Instituciones Educativas por prevencion de contagio del COVID-19</t>
  </si>
  <si>
    <t xml:space="preserve">desde el 16 de marzo no estan operando las plantas del programa de aliemntacion escolar </t>
  </si>
  <si>
    <t>desde el 16 de marzo no se encuentran abiertas las Instituciones Educativas por prevencion de contagio del COVID-20</t>
  </si>
  <si>
    <t xml:space="preserve">en la actualidad se esta dando prioridad a diagnosticos y autorizaciones de funcionamiento de expendios de carne </t>
  </si>
  <si>
    <t>Estos establecimientos se han convertido de alto riesgo por cntagios de COVID-19</t>
  </si>
  <si>
    <t>No se ha podido ejecutar esta meta de proyecto debido a la emergencia sanitaria -19</t>
  </si>
  <si>
    <t>Corresponde a capacitación de productores campesinos en articulación con Secretaría de Desarrollo Rural y Gestión Ambiental. Se emplean medios virtuales para tal fin</t>
  </si>
  <si>
    <t xml:space="preserve">Esta actividad esta programada para el III Trimestre </t>
  </si>
  <si>
    <t>Estas (1.440)caracterizaciones No se han realizado ya que a la fecha el programa de RL No cuenta con el personal idoneo, solo tiene  una tecnica y ella esta realizando otras actividades prioritarias.  Al iniciar con estas actividades se presento (EMERGENCIA SANITARIA ) Pandemia mundial COVID-19. A raiz de esto se tuvo que priorizar el apoyo de prevencion y autocuidado por covid-19, asi realizando intervencion en   ciertas entidades que presentaban PQR por no cumplir con los protocolos de bioseguirdad y SG-SST .De igual  por orden presidencial todo el pais entro a  aislamiento obligatorio y el gremio informal ya no estaba realizando sus actividades .</t>
  </si>
  <si>
    <t>Estas (2.400)intervenciones No se han realizado ya que a la fecha el programa de RL No cuenta con el personal idoneo, solo tiene  una tecnica y ella esta realizando otras actividades prioritarias.  Al iniciar con estas actividades se presento (EMERGENCIA SANITARIA ) Pandemia mundial COVID-19. A raiz de esto se tuvo que priorizar el apoyo de prevencion y autocuidado por covid-19, asi realizando intervencion en   ciertas entidades que presentaban PQR por no cumplir con los protocolos de bioseguirdad y SG-SST .De igual  por orden presidencial todo el pais entro a  aislamiento obligatorio y el gremio informal ya no estaba realizando sus actividades .</t>
  </si>
  <si>
    <t xml:space="preserve">A corte 31 de marzo no se adelantaron acciones ya que el personal que desarrolla la estrategia CARMEN no ha sido contratado por que son del PIC. </t>
  </si>
  <si>
    <t>Se realizan 75 registro de localizacion y caracterizacion de personas con discapapcidad.</t>
  </si>
  <si>
    <t>A corte 31 de marzo No se han realizado actividades ya que las instituciones educativas fueron cerradas por la contingencia del COVID-19</t>
  </si>
  <si>
    <t>A corte 31  marzo  no se han creado los nodos RBC ya que es una accion a desarrollar con el personal del PIC  y no ha sido contratado.</t>
  </si>
  <si>
    <t>a corte 31 de marzo Para dar respuesta a la emergiencia covid-19 no se adelantaron estas actividades.</t>
  </si>
  <si>
    <t>A corte 31 de marzo Para dar respuesta a la emergiencia covid-19 no se adelantaron e</t>
  </si>
  <si>
    <t>programar</t>
  </si>
  <si>
    <t>A corte 31 de marzo se realizan visitas de asistencia tecnica a 3 CPSAM</t>
  </si>
  <si>
    <t>A corte 31 de marzo Para dar respuesta a la emergiencia covid-19 no se adelantaron estas actividades.</t>
  </si>
  <si>
    <t>Porgrama</t>
  </si>
  <si>
    <t>ESTRATEGIA CARMEN</t>
  </si>
  <si>
    <t>DISCAPACIDAD</t>
  </si>
  <si>
    <t>ESCUELAS Y COLEGIOS SALUDABLES</t>
  </si>
  <si>
    <t>ESTRATEGIA RBC</t>
  </si>
  <si>
    <t>ADULTO MAYOR</t>
  </si>
  <si>
    <t xml:space="preserve"> PROMOCION DE MODOS, CONDICIONES Y ESTILOS DE VIDA SALUDABLE</t>
  </si>
  <si>
    <t>ETV</t>
  </si>
  <si>
    <t>Realizar Búsqueda activa de casos de malaria en 6.000 viviendas.</t>
  </si>
  <si>
    <t>N º Total de viviendas intervenidas</t>
  </si>
  <si>
    <t>Tratar al 100% de los críaderos de Zancudo Anopheles identificados (temporales y permanentes).</t>
  </si>
  <si>
    <t>Nº total de críaderos de Zancudo Anophele tratados</t>
  </si>
  <si>
    <t>Realizar gestion integral en ETV al 100% de las (35) sedes priorizadas  de instituciones educativas del sector publico y privado para mantener el control de las poblaciones de vectores y reservorios.</t>
  </si>
  <si>
    <t>Nº total de de instituciones educativas gestionadas en prevencion de ETV.</t>
  </si>
  <si>
    <t>Levantar el índice aédico al 100% de las viviendas visitadas de los sectores identificados según el riesgo en 20.000 viviendas.</t>
  </si>
  <si>
    <t>Nº total de índice aédico levantados en las viviendas visitadas.</t>
  </si>
  <si>
    <t>Realizar control larvario a 12.000 depósitos y/o sumideros del municipio.</t>
  </si>
  <si>
    <t xml:space="preserve">Nº total de control larvario realizados </t>
  </si>
  <si>
    <t xml:space="preserve">N° de asistencias tecnicas realizadas a ips con servicios de urgencias </t>
  </si>
  <si>
    <t>Nº de visitas de campo realizadas a los casos notificados por enfermedades transmitidas por vectores.</t>
  </si>
  <si>
    <t>Relizar unidades de analisis al 100% de los casos de mortalidad por dengue y malaria.</t>
  </si>
  <si>
    <t>N° de unidades de analisis realizadas a los casos de mortalidad por dengue y malaria.</t>
  </si>
  <si>
    <t>PAI</t>
  </si>
  <si>
    <t>Realizar 3 monitoreos de cobertura en vacunacion.</t>
  </si>
  <si>
    <t>Nº de monitoreos realizados</t>
  </si>
  <si>
    <t>Realizar en alianza con la red pública 192 recorridos barriales para promocion de la vacunación y acciones preventivas.</t>
  </si>
  <si>
    <t>Nº de recorridos barriales realizados para promocion de la vacunación y acciones preventivas.</t>
  </si>
  <si>
    <t>Realizar Visitas de asistencia tecnica al 100% de IPS Municipales que ofrecen vacunación para  la verificación de PAI y realizar visitas al 100% IPS municipales en donde se presta el servicios de AIEPI.</t>
  </si>
  <si>
    <t>N° de asistencias tecnicas realizadas a IPS.</t>
  </si>
  <si>
    <t>Realizar visitas al 100% de las EPS para asistencia técnica del programa ampliado de inmunizaciones y estrategia AIEPI</t>
  </si>
  <si>
    <t>N° de visitas realizadas de seguimiento a calidad del dato a Ips vacunadoras.</t>
  </si>
  <si>
    <t xml:space="preserve">Realizar visitas de seguimiento al 100% de Evento Supuestamente Atribuido a Vacunación o Inmunización- ESAVIS </t>
  </si>
  <si>
    <t>Nº de visitas de seguimiento realizadas a ESAVIS.</t>
  </si>
  <si>
    <t>Realizar visitas de seguimiento al 100% de casos sospechosos de inmunoprevenibles.</t>
  </si>
  <si>
    <t>Realizar 60 visitas de mantenimiento a las unidades AIEPI.</t>
  </si>
  <si>
    <t>Total de visitas programadas</t>
  </si>
  <si>
    <t xml:space="preserve">Realizar unidades de análisis de mortalidad  al 100% de casos de enfermedades inmunoprevenibles de acuerdo al protocolo y ESAVIS </t>
  </si>
  <si>
    <t>N° de unidades de analisis realizadas</t>
  </si>
  <si>
    <t>Realizar 8 cursos comunitarios de prácticas clave AIEPI a diferentes actores que trabajan por la niñez.</t>
  </si>
  <si>
    <t>Nº total de cursos AIEPI comunitarios realizados</t>
  </si>
  <si>
    <t>Nº total de cursos AIEPI comunitarios programados</t>
  </si>
  <si>
    <t>Promocionar esquemas de vacunación completos para la edad en 100%  familias intervenidas por la estrategia de Atención primaria en salud que tengan miembros objeto de PAI.</t>
  </si>
  <si>
    <t>Nº total de familias a las que se les promociono el esquemas de vacunación completo para la edad.</t>
  </si>
  <si>
    <t>Nº total de familias intervenidas por la estrategia de Atención primaria en salud que tengan miembros objeto de PAI.</t>
  </si>
  <si>
    <t>Nº total de enfermeras y auxiliares de enfermeria certificadas en a norma administración de biológicos</t>
  </si>
  <si>
    <t>Nº total de enfermeras y auxiliares de enfermeria programadas para la certificacion en a norma administración de biológicos</t>
  </si>
  <si>
    <t>ZOONOSIS</t>
  </si>
  <si>
    <t>Realizar Vacunación antirrábica de caninos y felinos al 80% de la población objeto.  Estimacion poblacional 68.904/2019 
el 80% es 55123</t>
  </si>
  <si>
    <t>Realizar 60 Talleres de Control integrado de roedores plaga  (CIRP) Dirigido a comunidad ubicada en sectores de alto riesgo.</t>
  </si>
  <si>
    <t>Nº total de talleres de Control integrado de roedores plaga  (CIRP) realizados</t>
  </si>
  <si>
    <t>Realizar visitas de asistencia técnica al 100% de IPS que generen eventos de notificación de exposiciones rábicas y leptospira.</t>
  </si>
  <si>
    <t xml:space="preserve">N° de asistencias tecnicas realizadas a ips </t>
  </si>
  <si>
    <t>Realizar investigacion de campo al 100% de  casos sospechosos de leptospira.</t>
  </si>
  <si>
    <t xml:space="preserve">Nº total de visitas de campo realizadas </t>
  </si>
  <si>
    <t>Realizar investigacion de campo al 100% de agresiones de animales potencialmente transmisores de rabia.</t>
  </si>
  <si>
    <t>Nº total de investigaciones de campo realizadas</t>
  </si>
  <si>
    <t>Caracterización y Visitas de IVC al 100% de establecimientos veterinarios y afines.</t>
  </si>
  <si>
    <t>Nº de carecterizaciones y visitas de IVC realizados a establecimientos veterinarios y afines.</t>
  </si>
  <si>
    <t xml:space="preserve">Realizar 200 Talleres de Convivencia Responsable con Animales de Compañía (COREAC). Dirigido a comunidad y a recurso humano del programa. </t>
  </si>
  <si>
    <t>Formulacion y elaboracion del documento tecnico de la estrategia de EGI en su primera fase y/o avances, según lineamientos del Ministerio de Salud y Proteccion Social.</t>
  </si>
  <si>
    <t>TUBERCULOSIS</t>
  </si>
  <si>
    <t>Realizar Visitas de Intervención psico-sociales al 100% de los pacientes priorizados con tuberculosis  en riesgo o  pérdida en el seguimiento del programa de control de  TB.</t>
  </si>
  <si>
    <t>Nº de visitas realizadas a los pacientes priorizados</t>
  </si>
  <si>
    <t>Realizar visitas de  campo al 100% de los casos reportados  según  los  lineamientos  del  INS, con el fin de Fortalecer la adherencia al tratamiento y la  búsqueda de  contactos.</t>
  </si>
  <si>
    <t>Nº de visitas de campo realizadas a los casos reportados  según  los  lineamientos  del  INS.</t>
  </si>
  <si>
    <t>Total de sintomaticos respiratorios captados.</t>
  </si>
  <si>
    <t>Realizar visitas de seguimiento a la cohorte al 100% de IPS priorizadas con pacientes en DOTS/TAS</t>
  </si>
  <si>
    <t>Realizar  2 visitas al año orientación y asistencia  técnica  al 100% de IPS en los  lineamientos  programáticos relacionados con el diagnóstico tratamiento  y seguimiento a los  pacientes con  lepra y tuberculosis verificando cumplimiento de normatividad.</t>
  </si>
  <si>
    <t>Realizar 2 visitas de asistencia tecnica en el seguimiento al Desarrollo del modelo de gestion programatico de tuberculosis y lepra adoptado en el 100% las Enteidades Administradoras de Planes de Beneficios - EAPB del municipio</t>
  </si>
  <si>
    <t>N° de asistencias tecnicas realizadas a EAPB</t>
  </si>
  <si>
    <t>Realizar Unidad de Análisis en tuberculosis al 100% de los casos de acuerdo a los lineamientos del INS.</t>
  </si>
  <si>
    <t>Realizar 10 Visitas a la población privada de la libertad y custodios, para el fortalecimiento de educacion y busqueda activa en Tuberculosis y Lepra.</t>
  </si>
  <si>
    <t xml:space="preserve">N° de visitas realizadas </t>
  </si>
  <si>
    <t xml:space="preserve">Realizar Actividades de prevencion y educación  en tuberculosis dirigidas a poblacion vulnerable y en riesgo como: Habitantes en condicion de calle y habitante de calle, Consumidores de SPA, PVV, Adultos mayores, personas con enfermedades Cronicas. </t>
  </si>
  <si>
    <t>N° de Actividades realizadas de prevencion y educación  en tuberculosis dirigidas a poblacion vulnerable y en riesgo.</t>
  </si>
  <si>
    <t xml:space="preserve">N° de actividades  de prevencion y educación programadas </t>
  </si>
  <si>
    <t>N° de Ips a las que se les realizó acciones colaborativas TB - VIH.</t>
  </si>
  <si>
    <t>Numeo de viviendas programadas</t>
  </si>
  <si>
    <t xml:space="preserve">Críaderos de Zancudo Anopheles identificados programados </t>
  </si>
  <si>
    <t xml:space="preserve"> instituciones educativas priorizadas programadas</t>
  </si>
  <si>
    <t>Numero de viviendas visitadas programadas</t>
  </si>
  <si>
    <t>depósitos y/o sumideros del municipio programados</t>
  </si>
  <si>
    <t xml:space="preserve"> Ips objeto de asistencia tecnica programada</t>
  </si>
  <si>
    <t>casos notificados programados</t>
  </si>
  <si>
    <t>Nº de esquemas de vacunacion completos realizados</t>
  </si>
  <si>
    <t xml:space="preserve">Numero de esquema de vacunacion programado </t>
  </si>
  <si>
    <t>monitoreos programados</t>
  </si>
  <si>
    <t>recorridos barriales programados</t>
  </si>
  <si>
    <t>Total de Ips objeto de asistencia tecnica programada</t>
  </si>
  <si>
    <t>Ips objeto de seguimiento programadas</t>
  </si>
  <si>
    <t>ESAVIS reportados programados</t>
  </si>
  <si>
    <t>Total de casos sospechosos de inmunoprevenibles programados</t>
  </si>
  <si>
    <t>Nº de visitas realizadas a seguimientos de casos sospechosos de inmunoprevenibles.</t>
  </si>
  <si>
    <t>Nº total de visitas realizadas de mantenimiento realizadas a las unidades AIEPI.</t>
  </si>
  <si>
    <t>Total casos objeto de unidad de analisis programadas</t>
  </si>
  <si>
    <t>Nº total de caninos y felinos vacunados realizados</t>
  </si>
  <si>
    <t>casos reportados programados</t>
  </si>
  <si>
    <t>casos reportados  programados</t>
  </si>
  <si>
    <t xml:space="preserve"> establecimientos veterinarios y afines programados</t>
  </si>
  <si>
    <t xml:space="preserve"> talleres de Convivencia Responsable con Animales de Compañía (COREAC) programados.</t>
  </si>
  <si>
    <t>Nº total de talleres realizados de Convivencia Responsable con Animales de Compañía (COREAC).</t>
  </si>
  <si>
    <t>Nº de documentos tecnicos de la estrategia de EGI realizado</t>
  </si>
  <si>
    <t xml:space="preserve"> documento tecnicos de la estrategia de EGI programado</t>
  </si>
  <si>
    <t>pacientes priorizados programados</t>
  </si>
  <si>
    <t>sintomaticos respiratorios del Municipio programados</t>
  </si>
  <si>
    <t>Ips Priorizadas  con pacientes en DOTS/TAS programados</t>
  </si>
  <si>
    <t>N° de visitas  de seguimiento a la cohorte realizadas</t>
  </si>
  <si>
    <t>N° de ips con asistencia tecnica realizadas</t>
  </si>
  <si>
    <t>Ips objeto de asistencia tecnica programadas</t>
  </si>
  <si>
    <t>EAPB objeto de asistencia tecnica programadas</t>
  </si>
  <si>
    <t>casos objeto de unidad de analisis programadas</t>
  </si>
  <si>
    <t>visitas programadas</t>
  </si>
  <si>
    <t xml:space="preserve"> Ips de atención integral programadas</t>
  </si>
  <si>
    <t>Las visitas se realizaron, hasta la suspensión de las mismas por la contingencia de COVID -19</t>
  </si>
  <si>
    <t>Esta actividad se hace normalmente</t>
  </si>
  <si>
    <t>En el mes de marzo se suspendió la programación de las instituciones educativas debido a la contingencia por COVID -19</t>
  </si>
  <si>
    <t xml:space="preserve">De los componentes de la EGI se biene trabajando en:
*Gerencia del programa
*Inteligencia epidemiológica
*Promoción de la salud
*Atención integral de pacientes
No se ha trabajado debido a contingencia por COVID:
*Gestión de salud pública
*Gestion y atención de contigencias (éste último se está articulando por aumento de casos en el primer trimestre)
</t>
  </si>
  <si>
    <t>Esta actividad se hará en la medida que la contingencia por COVID lo permita</t>
  </si>
  <si>
    <t>El 19,6% corresponde a los casos que se encontraron con direcciòn y/o teléfono errado</t>
  </si>
  <si>
    <t>No hubo mortalidad</t>
  </si>
  <si>
    <t>Se lleva un cumplimiento del 24,2% meta NV RUAF (4720). Y un 20,3% meta NV DANE (5638), se han aplicado 1142 dosis de biologico trazador terceras de pentavalente en menroes de 1 año.</t>
  </si>
  <si>
    <t>Los monitoreos del municipio se realizan en el mes de junio y noviembre , el monitoreo del departamento se realiza en agosto.</t>
  </si>
  <si>
    <t>El cumplimiento de la meta se lleva a cabo con PIC, aun no se ha realizado la contratacion</t>
  </si>
  <si>
    <t>No se ha contratado el recurso humano, este proceso se lleva acabo por parte del del componente de Asistencia Tecnica.</t>
  </si>
  <si>
    <t xml:space="preserve">Por contingencia COVID no se ha avanzado en la meta. </t>
  </si>
  <si>
    <t>No se han presentado casos al primer trimestre.</t>
  </si>
  <si>
    <t>Casos notificados: Tosferina 2 casos, 1 positivo confirmado por laboratorio, otro pendiente laboratorio
Paralisis flacida 1 caso, descartado por laboratorio
Meningitis 1 caso
Rubeola 1 caso, descartado por laboratorio
IRAG 16 casos, 2 mortalidades.</t>
  </si>
  <si>
    <t>Por contingencia COVID no se ha avanzado en la meta</t>
  </si>
  <si>
    <t>Pendiente hacer unidad analisis a 2 casos de mortalidad por IRAG. Por contingencia COVID no se ha avanzado en la meta</t>
  </si>
  <si>
    <t>Cumplimiento de la meta con la estrategia casa sana</t>
  </si>
  <si>
    <t>El 13 de marzo se realiza el primer proceso de sensibilización en competencial laborales en administración de Inmunobiológicos, actividad dirigida por el SENA. 81 personas inscritas de las IPS del municipio. Por contingencia COVID no se ha avanzado en la meta</t>
  </si>
  <si>
    <t>A mediados del mes de marzo las actividades de vacunación fueron cambiadas por apoyo a COVI</t>
  </si>
  <si>
    <t>Los talleres de CIRP están programados para el segundo trimestre.</t>
  </si>
  <si>
    <t>Se espera la contratación del médico de apoyo de prestación de servicios que realiza esta actividad.</t>
  </si>
  <si>
    <t xml:space="preserve">100% de casos reportados  atendidos </t>
  </si>
  <si>
    <t>100% de reportes atendidos</t>
  </si>
  <si>
    <t>Se suspenden las visitas de IVC por la coyuntura del COVI pero se sigue haciendo control telefónico y por internet, solo se visitaran situaciones especiales por incumplimiento a la norma.</t>
  </si>
  <si>
    <t>Los talleres de COREAC están programados para dar inicio en el segundo trimestre.</t>
  </si>
  <si>
    <t>Se continúa realizando el trabajo de investigación y contactos interinstitucionales</t>
  </si>
  <si>
    <t>SE INICIARA PROCESOS APARTIR DEL MES DE ABRIL CON EL APOYO DEL PERSONAL ENVIADO POR LA SECRETARIA DE SALUD DEPARTAMENTAL</t>
  </si>
  <si>
    <t>se tiene 7 visitas pendientes por ejecutart, esto por contingencia COVID-19 se estan realizando visitas por herramienta tecnologica</t>
  </si>
  <si>
    <t xml:space="preserve"> Con cohorte al 31 de marzo, esta es la poblacion captada dentro de las ips para el municpio de pereira</t>
  </si>
  <si>
    <t>En el mes de marzo no ejecutaron visitas de forma visita por pandemia COVID-19, solo se solicitaron ajustes via correo electronico, nevamente se retomaran el mes de abril a traves de video llamada</t>
  </si>
  <si>
    <t xml:space="preserve">Por Contingencia de la Pandemia COVID- 19 NO se han realizado visitas de ATI a las IPS </t>
  </si>
  <si>
    <t>Por Contingencia de la Pandemia COVID- 19 NO se han realizado visitas de ATI a las EAPB</t>
  </si>
  <si>
    <t xml:space="preserve">Por Retraso en la contratacion +contigencia de pandemia COVID- 19 no se han podido programar ni ejecutar unidades de analisis. </t>
  </si>
  <si>
    <t>Por contingencia COVID-19 se suspenden todas las actividades encaminadas hacia busqueda de SR</t>
  </si>
  <si>
    <t>se realizaron intervenciones en 4 albergues temporales dispuestos por la alcaldia por manejo COVID-19 y 1 intervencion a inquilinato.</t>
  </si>
  <si>
    <t>Para el primer trimeste se solicito realizar las visitas a las 8 IPS para socializar las pautas en el trabajo.</t>
  </si>
  <si>
    <t>Estrategia IEC programada</t>
  </si>
  <si>
    <t>Número de mujeres de 50 años y mas identificadas en zonas de APS programadas</t>
  </si>
  <si>
    <t>Número de mujeres de 20 a 69 años identificadas en zonas de APS programadas</t>
  </si>
  <si>
    <t>Número de personas en edad fértil identificadas en zonas de APS programadas</t>
  </si>
  <si>
    <t xml:space="preserve">grupos conformados programados </t>
  </si>
  <si>
    <t>Número de gestantes identificadas en zonas de APS programadas</t>
  </si>
  <si>
    <t xml:space="preserve">actividades programadas </t>
  </si>
  <si>
    <t xml:space="preserve">jornadas programadas </t>
  </si>
  <si>
    <t>unidades de análisis programadas</t>
  </si>
  <si>
    <t xml:space="preserve">pruebas programadas </t>
  </si>
  <si>
    <t xml:space="preserve">Número de casos reportados como no adherentes en el periodo informado programados </t>
  </si>
  <si>
    <t>Número de casos reportados  en el periodo informado programados</t>
  </si>
  <si>
    <t xml:space="preserve">visitas programadas </t>
  </si>
  <si>
    <t>Número de casos  presentados en el periodo informado programado</t>
  </si>
  <si>
    <t xml:space="preserve">Número de casos de sífilis congénita presentados en el periodo informado programado </t>
  </si>
  <si>
    <t>Número de casos realizados</t>
  </si>
  <si>
    <t>Número de seguimientos realizados en el periodo informado programados</t>
  </si>
  <si>
    <t>Estrategia IEC con mantenimiento programada</t>
  </si>
  <si>
    <t>Gestion en Salud del Riesgo del Desastre</t>
  </si>
  <si>
    <t>Emitir concepto sanitario FAVORABLE al 100% de los establecimientos de alimentos, hangares, talleres, almacenes y oficinas del Aeropuerto Internacional Matecaña.</t>
  </si>
  <si>
    <t>Número establecimientos con concepto FAVORABLE</t>
  </si>
  <si>
    <t>Total establecimientos activos 2020</t>
  </si>
  <si>
    <t>Emitir concepto sanitario FAVORABLE al 100% de los establecimientos de alimentos, talleres y oficinas del Terminal de Transportes de Pereira.</t>
  </si>
  <si>
    <t>Emitir concepto sanitario FAVORABLE a los tres 3 puntos portuarios del Municipio aplicando ACTA de IVC formato MinSalud.</t>
  </si>
  <si>
    <t>Número de puntos portuarios con concepto FAVORABLE</t>
  </si>
  <si>
    <t>Jornadas de asistencia técnica sobre Reglamento Sanitario Internacional a las entidades portuarias.</t>
  </si>
  <si>
    <t>Número de asistencias técnicas impartidas</t>
  </si>
  <si>
    <t>Total de asistencias técnicas programadas</t>
  </si>
  <si>
    <t>Realizarla planeación  y ejecucion de simulación por emergencia sanitaria en el punto de entrada municipal.</t>
  </si>
  <si>
    <t>Asistencia técnica al 100% de las IPS priorizadas en el Programa Hospital Seguro hasta la ejecución por emergencia externa.</t>
  </si>
  <si>
    <t>Número de IPS con simulacro de emergencia externa</t>
  </si>
  <si>
    <t>Total de IPS priorizadas Programa Hospital Seguro</t>
  </si>
  <si>
    <t>Jornadas masivas de asistencia técnica  a las Empresas Administradoras de Planes de Beneficios (EPS y ARL) en Sistema de Emergencias Médicas y Hospital Seguro.</t>
  </si>
  <si>
    <t>Número de jornadas ejecutadas</t>
  </si>
  <si>
    <t>Total de jornadas programadas</t>
  </si>
  <si>
    <t>Implementar los 4 componentes principales del Sistema de Emergencias médicas municipal SEM</t>
  </si>
  <si>
    <t>Número de componentes implementados</t>
  </si>
  <si>
    <t>Ejecutar jornadas de asistencia técnica y capacitación a los operadores asistenciales del SISTEMA DE EMERGENCIAS MEDICAS.</t>
  </si>
  <si>
    <t>Ejecutar operativos de control a los operadores asistenciales del SISTEMA DE EMERGENCIAS MEDICAS.</t>
  </si>
  <si>
    <t>Número de operativos de control realizados</t>
  </si>
  <si>
    <t>Verificación del Plan de Atención en Salud al 100% de los eventos de aglomeración de público priorizados por nivel de riesgo  para el Municipio.</t>
  </si>
  <si>
    <t>Construir y socializar al personal de la Secretaria de Salud, los procedimientos del Equipo de Respuesta Inmediata a emergencias de origen socio natural</t>
  </si>
  <si>
    <t>Realizar el cubrimiento del componente de Salud Publica en el  100% de  las emergencias que se notifiquen a la Direccion Local de Salud.</t>
  </si>
  <si>
    <t>2 una aleta de dengue y una emergencia (Covid-19)</t>
  </si>
  <si>
    <t>Planear y caracterizar los sitios de afluencia masiva  por nivel de riesgo y objeto de cumplimiento de la Ley 1831 de 2017 Desfibriladores Externos Automáticos.</t>
  </si>
  <si>
    <t>Número de sitios de afluencia masiva caracterizados</t>
  </si>
  <si>
    <t>Observacion</t>
  </si>
  <si>
    <t>No se ha realizado el censo en el Aeropuerto sobre establecimientos activos, dado que todos los locales están cerrados por la emergencia</t>
  </si>
  <si>
    <t>No se ha realizado el censo en el Terminal sobre establecimientos activos, dado que todos los locales están cerrados por la emergencia</t>
  </si>
  <si>
    <t xml:space="preserve">Numero de puntos portuarios del municipio </t>
  </si>
  <si>
    <t>Planeación  y ejecucion de simulación por emergencia sanitaria en el punto de entrada municipal programadas</t>
  </si>
  <si>
    <t>Planeación  y ejecucion de simulación por emergencia sanitaria en el punto de entrada municipal.</t>
  </si>
  <si>
    <t>3 Jornadas  para realizar 2 a las 13 EPS  y una para las 15 ARL</t>
  </si>
  <si>
    <t>Número de componentes programados</t>
  </si>
  <si>
    <t>Jornadas programadas</t>
  </si>
  <si>
    <t>operativos programados en el año</t>
  </si>
  <si>
    <t>Total de eventos aglomeración clasificados como alto y mediano riesgo</t>
  </si>
  <si>
    <t xml:space="preserve">Verificacion del plan de atencion en salud a los eventos aglomeración clasificados como alto y mediano riesgo
</t>
  </si>
  <si>
    <t>Socializacion procedimientos ERI</t>
  </si>
  <si>
    <t>Programacion procedimientos ERI</t>
  </si>
  <si>
    <t>Total de emergencias en salud publica atendidas</t>
  </si>
  <si>
    <t>Total de emergencias en salud publica presentadas</t>
  </si>
  <si>
    <t xml:space="preserve">El 20% de planeacion y elñ 80 es de caracterizacion </t>
  </si>
  <si>
    <t>Número de sitios de afluencia masiva programados</t>
  </si>
  <si>
    <t xml:space="preserve">caninos y felinos objeto de vacunacion programados </t>
  </si>
  <si>
    <t>talleres de Control integrado de roedores plaga  (CIR) programados</t>
  </si>
  <si>
    <t>Ips objeto de asistencia tecnica.</t>
  </si>
  <si>
    <t xml:space="preserve">MEJORAMIENTO DE LA SALUD INFANTIL </t>
  </si>
  <si>
    <t>Relizar visitas educativas en practicas clave AIEPI   al 100% de las familias de la comunidad indigena caracterizadas por parte de la estrategia mejoramiento de entornos familiares y comunitarios</t>
  </si>
  <si>
    <t>Número de familias indigenas caracterizadas   con educacion  en practicas clave AIEPI</t>
  </si>
  <si>
    <t xml:space="preserve"> familias indigenas caracterizadas </t>
  </si>
  <si>
    <t xml:space="preserve">Implementar la estrategia de escuelas y colegios  saludables al menos en el 30% de las I.E del sector oficial ( sedes) </t>
  </si>
  <si>
    <t xml:space="preserve">Nùmero de sedes educativas con la estrategia escuelas y colegios saludables </t>
  </si>
  <si>
    <t xml:space="preserve">Instituciones educativas del municipio </t>
  </si>
  <si>
    <t>Realizar dos  visitas de asistencia técnica al 100% de IPS que realizan atencion a la primera infancia, infancia adolescencia de acuerdo a lo dispuesto en normatividad vigente</t>
  </si>
  <si>
    <t>Nùmero de visitas realizadas</t>
  </si>
  <si>
    <t>Realizar  dos visitas de asistencia técnica al 100% de las EAPB  en la atencion a la primera infancia, infancia adolescencia de acuerdo a lo dispuesto en normatividad vigente.</t>
  </si>
  <si>
    <t>Número de visitas a EAPB</t>
  </si>
  <si>
    <t>Realizar vigilancia epidemiológica al 100% de casos de mortalidad infantil, mortalidad en menores de cinco años y otros eventos de interes en salud pública en infantes de acuerdo  con lo establecido en los protocolos del INS</t>
  </si>
  <si>
    <t>Nùmero de casos notificados con vigilancia epidemiològica</t>
  </si>
  <si>
    <t>Realizar acciones de promoción de la estimulación integral con énfasis en  lenguaje y aprendizaje en el 100% de las I.educativas que hagan parte de la estrategia escuelas y colegios saludables</t>
  </si>
  <si>
    <t>Nùmero de instituciones educativas con procesos de estimulaciòn</t>
  </si>
  <si>
    <t>numero de I.E programadas para la estrategia escuelas y colegios saludables</t>
  </si>
  <si>
    <t>Realizar acciones de promoción de la estimulación integral con énfasis en areas perceptuales, motoras y de lenguaje en el 100% de los CDI  En el marco del acuerdo 42 de 2015</t>
  </si>
  <si>
    <t>Numero de CDI con estimulacion integral</t>
  </si>
  <si>
    <t>Total de CDI en el municipio(8)</t>
  </si>
  <si>
    <t>Realizar 2 jornadas de actualizaciòn en  atenciòn integral a la primera infancia dirigida al  100% de  IPS.</t>
  </si>
  <si>
    <t>Nùmero de jornadas de actualizaciòn realizadas</t>
  </si>
  <si>
    <t>Nùmero de jornadas de actualizaciòn programadas</t>
  </si>
  <si>
    <t xml:space="preserve">SALUD NUTRICIONAL </t>
  </si>
  <si>
    <t>Nùmero de cursos realizados</t>
  </si>
  <si>
    <t>Numero de cursos de   consejería programads</t>
  </si>
  <si>
    <t>Realizar  50  visitas de socializacion de la norma  1823 de 2017  para la implementacion de salas amigas de la lactancia materna en el ámbito laboral</t>
  </si>
  <si>
    <t>Nûmero de visitas realizadas</t>
  </si>
  <si>
    <t>Numero de Visitas de socialización programadas</t>
  </si>
  <si>
    <t xml:space="preserve"> Realizar acciones de educaciòn  en salud nutricional en el 100% de las I.E que hacen parte de la estrategia escuelas y colegios saludables</t>
  </si>
  <si>
    <t xml:space="preserve">Nûmero de I.E con educación en salud nutricional </t>
  </si>
  <si>
    <t>Numero de I.E programadas para la estrategia escuelas y colegios saludables</t>
  </si>
  <si>
    <t>Realizar  3 unidades de anàlisis colectivas con EAPB e IPS en cuanto a desnutriciòn aguda moderada y severa en menores de cinco años</t>
  </si>
  <si>
    <t>Nùmero de unidades de analisis realizadas</t>
  </si>
  <si>
    <t>Nùmero de unidades de análisis programadas</t>
  </si>
  <si>
    <t xml:space="preserve">Nùmero de niños y niñas con toma de datos antropométricos </t>
  </si>
  <si>
    <t xml:space="preserve">Realizar asistencia tècnica en cuanto oferta nutricional en tiendas escolares   en el 100% de las I.Educativas  en el marco del acuerdo 43 de 2015 </t>
  </si>
  <si>
    <t>Nùmero de I.E con visita tienda escolar</t>
  </si>
  <si>
    <t xml:space="preserve">Total de  Instituciones educativas del municipio </t>
  </si>
  <si>
    <t>Nùmero de jornadas de actualizacion realizadas</t>
  </si>
  <si>
    <t>total jornadas de actualización programadas(2)</t>
  </si>
  <si>
    <t>Realizar vigilancia epidemiològica al 100% de niños y niñas notificados con bajo peso al nacer</t>
  </si>
  <si>
    <t>Nùmero de niños y niñas notificadoscon bajo peso al nacer con vigilancia epidemiològica</t>
  </si>
  <si>
    <t xml:space="preserve">Total casos notificados con bajo peso al nacer </t>
  </si>
  <si>
    <t>Realizar vigilancia epidemiològica al 100% de niños y niñas notificados con desnutricion aguda en menores de 5 años</t>
  </si>
  <si>
    <t>Número de niños y niñas notificados con DNA con vigilancia epidemiològica</t>
  </si>
  <si>
    <t xml:space="preserve">Total casos notificados con desnutriciòn aguda modera y severa </t>
  </si>
  <si>
    <t xml:space="preserve">SALUD BUCAL </t>
  </si>
  <si>
    <t>Hacer capacitación y promoción en hàbitos de higiene bucal al 100% de familias caracterizadas en la estrategia de mejoramiento de entornos familiares y comunitarios</t>
  </si>
  <si>
    <t xml:space="preserve">Número de familias con educacion en salud bucal </t>
  </si>
  <si>
    <t xml:space="preserve">Familiascaracterizadas  programadas para educaciòn en salud bucal  (15000)  </t>
  </si>
  <si>
    <t>Realizar actividades de promociòn de la salud bucal en niños y niñas de primera infancia en el 100% de hogares tradicionales, hogares Infantiles y CDI.</t>
  </si>
  <si>
    <t xml:space="preserve">Número de hogares tradicionales, hogares Infantiles y CDI con actividades de promoción de salud bucal </t>
  </si>
  <si>
    <t>Total de hogares tradicionales, hogares Infantiles y CDI ( 351  hogares tradicionales, 8 sedes CDI, 5 hogares infantiles)</t>
  </si>
  <si>
    <t>Promocion de hábitos higiénicos en salud bucal en el 100% de Intituciones educativas del sector oficial del municipio</t>
  </si>
  <si>
    <t xml:space="preserve">Número de Instituciones educativas con promoción de la salud  bucal </t>
  </si>
  <si>
    <t>Total I,E del sector oficial</t>
  </si>
  <si>
    <t xml:space="preserve">CASA SANA </t>
  </si>
  <si>
    <t>Actualizar Caracterización de  15000 familias desde los ambientes físico, psicosocial y conocimientos y prácticas en la estrategia mejoramiento de la salud  en entornos familiares y comunitarios</t>
  </si>
  <si>
    <t xml:space="preserve">Número de familias caracterizadas </t>
  </si>
  <si>
    <t xml:space="preserve">Número de familias programadas para caracterización </t>
  </si>
  <si>
    <t>Realizar socialización de la estrategia mejoramiento de la salud  en entornos familiares y comunitarios , en  el 100% de los sectores priorizados</t>
  </si>
  <si>
    <t>Número de socializaciones realizadas</t>
  </si>
  <si>
    <t>Total de socializaciones programadas  (85)</t>
  </si>
  <si>
    <t>Construir redes comunitarias y sociales al menos en el 90%  de los barrios intervenidos por la estrategia mejoramiento de la salud  en entornos familiares y comunitarios</t>
  </si>
  <si>
    <t xml:space="preserve">Número de barrios con conformación  de nodos </t>
  </si>
  <si>
    <t xml:space="preserve">Barrios programados para conformación de nodos o redes comunitarias </t>
  </si>
  <si>
    <t xml:space="preserve"> Realizar sesiones de intervención  breve al menos  en el 90% de las familias que sugirieron disfuncionalidad</t>
  </si>
  <si>
    <t>Número de sesiones de intervención breve realizadas</t>
  </si>
  <si>
    <t>Número de sesiones de intervención breve programadas</t>
  </si>
  <si>
    <t>Realizar acciones de promoción de la sana convivencia en el 100% de los barrios priorzados por la estrategia</t>
  </si>
  <si>
    <t>Número de barrios con acciones de promocion de la sana convivencia</t>
  </si>
  <si>
    <t>Total de barrios programados para acciones de promoción del buen trato y la sana convivencia (900)</t>
  </si>
  <si>
    <t xml:space="preserve">Realizar caracterizaciones del entorno en el 100% de los  barrios intervenidos por la estrategia con plan de accion comunitario </t>
  </si>
  <si>
    <t xml:space="preserve">Número de barrios con caracterizaciòn  del entorno </t>
  </si>
  <si>
    <t>Total de barrios programados para caracterizacion del entorno (85)</t>
  </si>
  <si>
    <t>Realizar acciones educativas en salud mediante la aplicación de unidades didacticas en el 100% de las familias caracterizadas .</t>
  </si>
  <si>
    <t xml:space="preserve">Numero de familias caracterizadas con acciones educativas  </t>
  </si>
  <si>
    <t>nùmero de familias caracterizadas programadas para acciones educativas</t>
  </si>
  <si>
    <t>Número de jornadas de promoción de la salud realizadas</t>
  </si>
  <si>
    <t>Realizar seguimiento integral al 100% de  las  familias priorizadas por la estrategia para garantizar disminucion de factores de riesgo Realizar seguimiento intergal a familias priorizadas por la estrategia</t>
  </si>
  <si>
    <t xml:space="preserve">Número de familias priorizadas con visitas de seguimiento </t>
  </si>
  <si>
    <t xml:space="preserve"> familias priorizadas para visitas de seguimiento (4000)</t>
  </si>
  <si>
    <t>Se realia a través de visitas a familias indigenas. Cuando ingreso trabajadora social y psicologa se dio la medida de aislamiento</t>
  </si>
  <si>
    <t>Solo se alcanzó a realizar dos reuniones con Secretaria de Educación. Ante cierre de I.E no se dio inicio a la implementación de la estrategia</t>
  </si>
  <si>
    <t>No ingreso aun de enfermera para desarrollar esta actividad</t>
  </si>
  <si>
    <t>Un caso mortalidad por IRA. Se reviso H.C. visita de campo. Llamado telefinico. Se programara reunion virtual para COVE</t>
  </si>
  <si>
    <t>Se alcanzó a definir estrategia de implementación por cierre de I.E no se da inicio.</t>
  </si>
  <si>
    <t>SE alcanzó a realizar actividades en CDI utepitos y CDI otun. EL ICBF por denira en contratacion y apertura con los operadores también retrasó el inicio de actividades. Posteriormente vino cierre por pandemia</t>
  </si>
  <si>
    <t>Se programara una virtual .</t>
  </si>
  <si>
    <t>Unidad intermedia centro
Idime (2)
IPS maraya. Se logra 10% de cumplimiento</t>
  </si>
  <si>
    <t>Se viistaron las siguientes empresas: Ivonne Franco
surtitodo 1
surtitodo 2
surtitido 3
Gane mas
arturo calle
Se debe esperar paso contigencia para quelas empresas definan inicio</t>
  </si>
  <si>
    <t>No se dió inicio por cierre de I.E</t>
  </si>
  <si>
    <t>Se programará una inicial mes mayo virtual</t>
  </si>
  <si>
    <t xml:space="preserve">Equipo Pic  de nutricion  casa sana aun no ha sido contratado </t>
  </si>
  <si>
    <t>Cierre de I.educativas</t>
  </si>
  <si>
    <t>No se ha programado aun</t>
  </si>
  <si>
    <t>Notificados que ya cumplian con el témino para realizar seguimiento</t>
  </si>
  <si>
    <t>Visitas con familias priorizadas</t>
  </si>
  <si>
    <t>Se dio inicio de actividades con el hgar infantil risaralda. Se atendieron 160 niños. Por cierre de sedes se suspende actividad.</t>
  </si>
  <si>
    <t>Cierre de I.E. No inicio de PIC</t>
  </si>
  <si>
    <t>Avance por parte de enfermeras jefes de casa sana. Se suspende actividad por asilamiento preventivo covid 19</t>
  </si>
  <si>
    <t>Se suspende por restricción de aglomeraciones en campo</t>
  </si>
  <si>
    <t>Se suspende por restricción de aglomeraciones en campo y no esta todo el equipo contratado</t>
  </si>
  <si>
    <t>Se suspende por medida de aislamiento. Se inicira estrategia telefonica</t>
  </si>
  <si>
    <t>Aun no ingresa equipo PIC. Y medida de aislamiento preventivo</t>
  </si>
  <si>
    <t>Se están actualizando unidades didacticas. Y medida de aislamiento preventivo</t>
  </si>
  <si>
    <t xml:space="preserve">Medida de aislamiento preventivo, no esta contratado el equipo </t>
  </si>
  <si>
    <t>Inicio de visitas por parte de las enfermeras jefes de casa sana.</t>
  </si>
  <si>
    <t>numero de productos en amarillo</t>
  </si>
  <si>
    <t>cubirmiento de pre-olimpicos, 5 fechas de futbopl, carrera 5k, fiesta electronica, testigos de jehova y factor X</t>
  </si>
  <si>
    <t>Dimension Operativa</t>
  </si>
  <si>
    <t>Rojo</t>
  </si>
  <si>
    <t>Verde</t>
  </si>
  <si>
    <t>SALUD MENTAL</t>
  </si>
  <si>
    <t xml:space="preserve">PRESTACION DE SERVICIOS </t>
  </si>
  <si>
    <t>GESTION EPIDEMIOLOGIA</t>
  </si>
  <si>
    <t xml:space="preserve">SALUD AMBIENTAL </t>
  </si>
  <si>
    <t>Amarillo</t>
  </si>
  <si>
    <t>CRONICAS</t>
  </si>
  <si>
    <t>SSR</t>
  </si>
  <si>
    <t>GESTION DEL RIESGO</t>
  </si>
  <si>
    <t>PROMOCION SOCIAL</t>
  </si>
  <si>
    <t>TRASMISIBLES</t>
  </si>
  <si>
    <t>Numero de productoss en amarillo</t>
  </si>
  <si>
    <t xml:space="preserve">Cumplimiento total  primer trimestre </t>
  </si>
  <si>
    <t xml:space="preserve">Cumplimiento total segundo trimestre </t>
  </si>
  <si>
    <t>Cumplimiento total ACUMULADO</t>
  </si>
  <si>
    <t>Cumplimiento primer trimestre total</t>
  </si>
  <si>
    <t>Cumplimiento  sgundo trmestre total</t>
  </si>
  <si>
    <t>Cumplimiento Primer trimestre</t>
  </si>
  <si>
    <t>Cumplimiento segundo trimestre</t>
  </si>
  <si>
    <t>Cumplimiento total segundo trimestre</t>
  </si>
  <si>
    <t>Cumplimiento total acumulado</t>
  </si>
  <si>
    <t xml:space="preserve">esta actividad se reprogramo </t>
  </si>
  <si>
    <t>Realizar inspección, vigilancia y control al 100% de las plantas (8) doas visitas por cada una  que operan como servicios  de alimentacion.</t>
  </si>
  <si>
    <t>son 6 de alimentos y dos de aguas, inicialmente se penso en 4 pero la necesidad del municipio</t>
  </si>
  <si>
    <t>Numero de establecimientos  que solicitan visita</t>
  </si>
  <si>
    <t>se debe ajustar la meta</t>
  </si>
  <si>
    <t>por la pandemia no hay instituciones educativas funcionando las que se logran cumplir  es po la solicitud se debe ajustar la meta</t>
  </si>
  <si>
    <t>esta actividad se cumple con los tecnicos de planta el resultado del indicador se vio afectado por el cambio del personal este indicador se cumple para el rpoximo trimestre</t>
  </si>
  <si>
    <t>3 Jornadas en el año par los operadores (26 Operador)</t>
  </si>
  <si>
    <t xml:space="preserve">se han realizado 5 jornadas con 26 actas </t>
  </si>
  <si>
    <t>medimas sse cuenta como 1 y pijao salud y coosalud</t>
  </si>
  <si>
    <t>Mantener la implemenctacion y el funcionemiento efectivo del COMPREVER a traves de los comites de prevencion (6) y atencion (3)</t>
  </si>
  <si>
    <t>Realizar encuentros anuales de articulacion para la implementacoin efectiva de acciones inter institucionales e intersectoriales para operar de cuerdo al plan de accion definido para el PESCC con los docentes lideres de las instituciones eductivas</t>
  </si>
  <si>
    <t>Implentar la estrategia sexualidad con setindo en el 35% de las IE (50) del sector oficial</t>
  </si>
  <si>
    <t xml:space="preserve">Realizar dos visitas al año de asistencia técnica integral al 100% de ips objeto de verificacion en la ruta salud mental </t>
  </si>
  <si>
    <t xml:space="preserve">Numero de casos llevados a   UDA  por eventos de muerte en interes de salud publica por lineamiento INS </t>
  </si>
  <si>
    <t xml:space="preserve">numero de retro alimentaciones por semanas epidemiologicas </t>
  </si>
  <si>
    <t>numero de retro alimentaciones(52 semanas)  según lineamiento del INS</t>
  </si>
  <si>
    <t>numero de  ajuste en tipo de caso según lineamiento del INS</t>
  </si>
  <si>
    <t xml:space="preserve">numero de casos que requieren ajuste según lineamientos del INS </t>
  </si>
  <si>
    <t>Realizar visitas de asistencia tecnica en SIVIGILA al 100% de UPGD priorizadas por positividad y volumen de notificacion</t>
  </si>
  <si>
    <t>Realizar como minimo 2 visitas de  asistencia técnica al 100% de IPS certificadoras de hechos vitales del municipio de Pereira</t>
  </si>
  <si>
    <t>Realizar visita de asistencia técnica en sivigila al 100% de UPGD con 4 periodos epidemiológicos en  notificación negativa y al total de  Unidades informadoras.</t>
  </si>
  <si>
    <t>Apoyar el 100% de Unidades de analisis</t>
  </si>
  <si>
    <t>realizar 10 coves con socializacion en interes de salud publica</t>
  </si>
  <si>
    <t>Realizar capacitaciones en SPP y sisap al 100% de contratista</t>
  </si>
  <si>
    <t>Numero de contratistas capacitados en el uso del Sistema de politicas publicas y sisap</t>
  </si>
  <si>
    <t>numero de contratistas con probable uso de SPP y sisap para el desarrollo de sus actividades</t>
  </si>
  <si>
    <t>Realizar  critica y retroalimentación semanl  a los certificados de defuncion y nacimientos consolidados en el sistema de informacion del municipio</t>
  </si>
  <si>
    <t>realizar los  reportes trimestrales en RIPS y res. 4505 de población no afiliada del municipio</t>
  </si>
  <si>
    <t>realizar   critica en calidad del dato en eventos de interes en salud publica por periodos epidemiologicos  ingresados al SIVIGILA.</t>
  </si>
  <si>
    <t>realizar retro alimentacion de eventos de interes en salud publica  según lineamiento del INS a los programas</t>
  </si>
  <si>
    <t xml:space="preserve"> hacer seguimiento al ajuste  de eventos de interes en salud publica  según lineamiento del INS</t>
  </si>
  <si>
    <t>Elaborar y difundir semanalmente boletines epidemiologicos en eventos de interes en salud publica</t>
  </si>
  <si>
    <t xml:space="preserve">actualizar el Documento de analisis de situacion de salud (ASIS) municipal según lineamientos del Ministerio de Salud y proteccion social </t>
  </si>
  <si>
    <t>Actualización y soporte del sistema SISAP en los diferentes módulos creados</t>
  </si>
  <si>
    <t>Revision y actualizacion de indicadores en salud del municipio, para la toma de decisiones y reporte de información</t>
  </si>
  <si>
    <t>Realizar visitas asistencia tecnicas al 100% IPS  y prestadores independientes con servicio de laboratorio clinico para el fortalecimiento del sistema de vigilancia en saldu publica</t>
  </si>
  <si>
    <t>numeros de productos comunicaciones desarrollados</t>
  </si>
  <si>
    <t>numeros de productos comunicaciones proyectados</t>
  </si>
  <si>
    <t>Difusión de lineamientos en Vigilancia en Salud Pública del Instituto nacional de Salud</t>
  </si>
  <si>
    <t>numero de capacitaciones en  actores del sistema de estadisticas vitales realizadas</t>
  </si>
  <si>
    <t>numero de capacitaciones en actores del sistema de estadisticas vitales programadas</t>
  </si>
  <si>
    <t>atencion de brotes ocurridos en el municipio con investigacion epidemiologica de brote</t>
  </si>
  <si>
    <t>Participar en Comité de Estadisticas Vitales</t>
  </si>
  <si>
    <t>numero de asistencia a comites de EEVV</t>
  </si>
  <si>
    <t xml:space="preserve">numeros de EEVV programados </t>
  </si>
  <si>
    <t xml:space="preserve">cumplimiento segundo trimestre </t>
  </si>
  <si>
    <t xml:space="preserve">numero de productos en amarillo </t>
  </si>
  <si>
    <t xml:space="preserve">Realizar acciones de IVC al 100% establecimiento con enfoque  de mediano riesgo epidemiologico:Instituones educativas publicas y CDI </t>
  </si>
  <si>
    <t xml:space="preserve">Realizar acciones de Inspección, vigilancia y control como minimo al 25%  de establecimiento con enfoque  de mediano riesgo epidemiologico como:Instituones educativas, viviendas permanentes y  transitorias, (Instituciones Educativas privadas, universidades, Hogares comunitarios, jardines infantiles, ONG, CPSAM etc),  . </t>
  </si>
  <si>
    <t>Jornadas de capacitación  a establecimientos cárnicos en implementación de los Procedimientos Operativos Estandarizados de Saneamiento (POES)</t>
  </si>
  <si>
    <t>Jornada de capacitación en Buenas Prácticas de Manipulación a a vendedores de alimentos  en via publica</t>
  </si>
  <si>
    <t>Visitas integrales de IVC a las centrales minoristas y mayorisrtas de alimentos en Pereira .</t>
  </si>
  <si>
    <t>Realizar acciones IVC al 100% de los vehículos transportadores de alimentos que lo soliciten.</t>
  </si>
  <si>
    <t>Realizar el 100% de los operativos de control a establecimeintos de alto y mediano riesgo epidimiológico</t>
  </si>
  <si>
    <t xml:space="preserve">jornadas ejecutadas </t>
  </si>
  <si>
    <t>jornadas programadas</t>
  </si>
  <si>
    <t>inspecciones a vehiculos realizadas</t>
  </si>
  <si>
    <t xml:space="preserve">inpecciones a vehiculos solicitadas </t>
  </si>
  <si>
    <t>operativos realizado</t>
  </si>
  <si>
    <t>operativos programados</t>
  </si>
  <si>
    <t>Realizar operativos de control a establecimientoa de alto y mediano riesgo sanitario IVC</t>
  </si>
  <si>
    <t>Realizar acciones de gestión interinstitucional a tráves del COLOSO municipal</t>
  </si>
  <si>
    <t>asistencias a comites</t>
  </si>
  <si>
    <t>comites programados</t>
  </si>
  <si>
    <t>Realizar actividades en de educacion salud ambiental para el mejoramiento del entorno comunitario en los barrios o veredas priorizadas</t>
  </si>
  <si>
    <t>actividades educativas realizada</t>
  </si>
  <si>
    <t xml:space="preserve">actividades educativas programadas </t>
  </si>
  <si>
    <t xml:space="preserve">Mantener la estrategia Rehabilitacion Basada en la Comunida en 10 nodos comunitarios en el municipio de Pereira, mediante  250 acciones  </t>
  </si>
  <si>
    <t>Realizar  visitas para  autorizacion de funcionamiento al 100% de Centros de Proteccion Social Para el Adulto Mayor  y Centros Vida  frente a la atención integral del adulto mayor</t>
  </si>
  <si>
    <t>Capacitación anualmente a los actores del sistema  e instituciones sobre enfermedades cronicas no transmisibles (HTA, DIABETES, EPOC, ERC, DETECCIÒN Y MANEJO DEL CANCER DE  PROSTATA</t>
  </si>
  <si>
    <t>capacitacion realizada.</t>
  </si>
  <si>
    <t xml:space="preserve">capacitacion programada </t>
  </si>
  <si>
    <t>Jornada de Movilización masiva para la sensibilización de estilos de vida saludable y promoción de la actividad física.</t>
  </si>
  <si>
    <t>Realizar visitas a EPS  priorizadas para asistir técnicamente en la estructuración de la atención integral a los usuarios con discapacidad</t>
  </si>
  <si>
    <t>Realizar actividades de promocion y sencibilizacion en el ambito comunitario e institucional frente a la promocion de una cultura solidaria mediante la donacion y transplante de organos</t>
  </si>
  <si>
    <t xml:space="preserve">jornada realizada </t>
  </si>
  <si>
    <t>jornada realizadas</t>
  </si>
  <si>
    <t xml:space="preserve">jornada progamadas </t>
  </si>
  <si>
    <t>Cumplimiento segundo trimestre.</t>
  </si>
  <si>
    <t>seguimiento, análisis, verificación y evaluación  al   presupuesto en relación a la asignación y ejecución de los recursos del regimen subsidiado en salud.</t>
  </si>
  <si>
    <t xml:space="preserve">seguimiento realizados </t>
  </si>
  <si>
    <t xml:space="preserve">seguimientos programados </t>
  </si>
  <si>
    <t xml:space="preserve">instituciones educativas con estrategias </t>
  </si>
  <si>
    <t xml:space="preserve">instituciones priorizadas </t>
  </si>
  <si>
    <t xml:space="preserve">jornada de encuentros realizada </t>
  </si>
  <si>
    <t xml:space="preserve">jornadas de encuentros programadas </t>
  </si>
  <si>
    <t>Realizar Jornada anual de prevencion de cancer y jornada simbolica de donacion de cabello</t>
  </si>
  <si>
    <t xml:space="preserve">jornada programada </t>
  </si>
  <si>
    <t>comites realizados</t>
  </si>
  <si>
    <t xml:space="preserve">comites programados </t>
  </si>
  <si>
    <t>Realizar actividades de arte y comunicación para la sana convivencia y la expresion de emociones en el marcos de las estrategia escuelas y colegios saludables</t>
  </si>
  <si>
    <t xml:space="preserve">actividades realizada </t>
  </si>
  <si>
    <t>Realizar encuentroos ludico pedagojicos para el desarrollo de estrategias comunicativas de promocion de habitos saluables con enfasis en nutricion</t>
  </si>
  <si>
    <t xml:space="preserve">Cumplimiento segundo trimeste </t>
  </si>
  <si>
    <t>Realizar la programación y ejecución del 100% las actividades para la gestion de las intervenciones en ETV ( gerencia del programa)</t>
  </si>
  <si>
    <t xml:space="preserve">programaciones realizada </t>
  </si>
  <si>
    <t xml:space="preserve">programaciones programadas </t>
  </si>
  <si>
    <t>Realizar visitas de asistencia técnica al 100% de IPS con servicios de urgencias para mejorar el manejo, la vigilancia, prevención y atención del  Dengue, Zika, Chikungunya, malaria y otros.(atencion integral de pacientes)</t>
  </si>
  <si>
    <t>Realizar visitas de campo al 100% de los casos notificados por enfermedades transmitidas por vectores.(vigilancia epidemiologica)</t>
  </si>
  <si>
    <t>Realizar 240 talleres comunitarios (o poblacion estudiantil) para mantener  el control de las Enfermedades transmitidas por vectores</t>
  </si>
  <si>
    <t>Realizar mapeo trimestal de  índices aédicos por comuna y sectorizar por factores de riesgo</t>
  </si>
  <si>
    <t>Realizar acciones preventivas en eliminación de criaderos de las zonas priorizadas por la estrategia APS (15000 Nucleos Familiares)</t>
  </si>
  <si>
    <t xml:space="preserve">talleres realizados </t>
  </si>
  <si>
    <t xml:space="preserve">talleres programados </t>
  </si>
  <si>
    <t xml:space="preserve">mapeos realizados </t>
  </si>
  <si>
    <t>mapeos progrmados</t>
  </si>
  <si>
    <t>intervenciones realizadas</t>
  </si>
  <si>
    <t>intervenciones programadas</t>
  </si>
  <si>
    <t>Completar esquemas de vacunación en biologicos trazadores de terceras dosis a nacidos vivos (5638) del municipio de Pereira.</t>
  </si>
  <si>
    <t>Certificación de 60 enfermeras y auxiliares de enfermería en la norma administración de biológicos  con el Sena, proceso de inducción y autodiagnóstico, aplicación de listas de chequeo, auditoria.( no esta en plan territorial)</t>
  </si>
  <si>
    <t>Realizar una actualizaciòn del programa ampliado de inmunizaciones con lineamientos técnicos  y de articulación operativa</t>
  </si>
  <si>
    <t>Realizar jornadas nacionales de vacunación</t>
  </si>
  <si>
    <t>Realizar comité interinstitucional curso de vida</t>
  </si>
  <si>
    <t xml:space="preserve">jornada realizadas </t>
  </si>
  <si>
    <t xml:space="preserve">comites realizados </t>
  </si>
  <si>
    <t>Realizar  búsqueda activa comunitaria de sarampión, rubeola y parálisis flácida Aguda (PFA) con  frecuencia trimestral</t>
  </si>
  <si>
    <t xml:space="preserve">busques realizadas </t>
  </si>
  <si>
    <t xml:space="preserve">busquedas programadas </t>
  </si>
  <si>
    <t>Realizar investigacion de campo al 100% de acidente ofiidico.</t>
  </si>
  <si>
    <t>Apoyar la constituciòn de nodos comunitarios para la promoción de bienestar animal en zonas priorizadas por atención primaria en salud</t>
  </si>
  <si>
    <t>Mapeo anual de mordedura de murciélagos hematófagos</t>
  </si>
  <si>
    <t>casos investigados</t>
  </si>
  <si>
    <t xml:space="preserve">nodo construidos </t>
  </si>
  <si>
    <t xml:space="preserve">nodos programados </t>
  </si>
  <si>
    <t>Realizar de 2 visitas al año al 100%  de las IPS de atencion integral para verificar el cumplimiento de las acciones colaborativas TB - VIH</t>
  </si>
  <si>
    <t>Capacitación a actores clave  en los temas de prevencion y control de la Tuberculosis y la lepra</t>
  </si>
  <si>
    <t>Jornada de capacitación a toda la red de atención  y demas actores del sistema en salud  involucrada  en el diagnóstico y tratamiento de  los pacientes  con tuberculosis</t>
  </si>
  <si>
    <t>Realizar vigilancia epidemiológica y Seguimiento al 100% de los casos reportados en el libro de pacientes con Tuberculosis, Farmacorresistente y coinfeccion TB-VIH</t>
  </si>
  <si>
    <t xml:space="preserve">capacitaciones realizada </t>
  </si>
  <si>
    <t>capacitaciones programadas</t>
  </si>
  <si>
    <t xml:space="preserve">caso investigados </t>
  </si>
  <si>
    <t xml:space="preserve">casos progrmados </t>
  </si>
  <si>
    <t>CUMPLIMIENTO EN PORCENTAJE Primer trimestre</t>
  </si>
  <si>
    <t>CUMPLIMIENTO EN PORCENTAJE segundo trimestre</t>
  </si>
  <si>
    <t>Total SP</t>
  </si>
  <si>
    <t>Cumplimiento total Aseguramiento</t>
  </si>
  <si>
    <t>Cumplimiento total SP</t>
  </si>
  <si>
    <t xml:space="preserve">Segundo </t>
  </si>
  <si>
    <t>semaforo</t>
  </si>
  <si>
    <t>ASISTENCIA TECNICA</t>
  </si>
  <si>
    <t>Plan territorial</t>
  </si>
  <si>
    <t xml:space="preserve">De la casilla 25 hacia abajo son los nuevos eventos del lll trimestre </t>
  </si>
  <si>
    <t>Visitas de asitencia tecnica 2 veces al año al 100% de las  IPS priorizadas  que oferten los servicios y/o programas  de Hipertensión Arterial, Enfermedad Renal Crónica y Diabetes</t>
  </si>
  <si>
    <t>Visitas de asitencia tecnica 2 veces al año al 100% de las  EAPB  que oferten los servicios y/o programas  de Hipertensión Arterial, Enfermedad Renal Crónica y Diabetes</t>
  </si>
  <si>
    <t>Tsmizaje Riesgo cardiovascular</t>
  </si>
  <si>
    <t>Realizar tamizaje de presión arterial en comunidad en general</t>
  </si>
  <si>
    <t>Numero de personas tamizadas</t>
  </si>
  <si>
    <t>Numero de personas programadas</t>
  </si>
  <si>
    <t>Salud Bucal</t>
  </si>
  <si>
    <t>Realizar dos visitas  de asitencia técnica al 100% de  IPS verificando el cumplimiento de la norma en atencion en salud bucal</t>
  </si>
  <si>
    <t xml:space="preserve">
Realizar dos  visitas de asitencia técnica al 100% de  EAPB  verificando el cumplimiento de la norma en atencion en salud bucal</t>
  </si>
  <si>
    <t xml:space="preserve">ETV ( Plan territoral) </t>
  </si>
  <si>
    <t xml:space="preserve">PAI ( Plan territotial) </t>
  </si>
  <si>
    <t>Realizar 1 curso AIEPI Clinico para profesionales de la salud de las IPS del municipio</t>
  </si>
  <si>
    <t>Realizar visitas de seguimiento a calidad del dato, verificacion de inventario e ingreso a PAI-WEB de las IPS del Municipio</t>
  </si>
  <si>
    <t>Zonosis ( plan territorial)</t>
  </si>
  <si>
    <t>Realizar  el 100 % de Capacitaciones al personal de la Secretaria de salud prorizado  en Enferemedades transmitidas por Vectores (Gestión del Conocimiento)</t>
  </si>
  <si>
    <t>Realizar seguimiento trimestral a las acciones institucionales intensificadas y de contingencia  de las ETV atraves de instrumento  interprogramatico (Gestión y atención de contingencias)</t>
  </si>
  <si>
    <t>Seguiminto realizados</t>
  </si>
  <si>
    <t xml:space="preserve">Seguimientos programados </t>
  </si>
  <si>
    <t>Cada trimestre se hace el consolidado de la información referente a la matriz interprogramatica de ETV.</t>
  </si>
  <si>
    <t>Mientras hubo restricciones para vacunar contra rabia, se aprovecho el apoyo del recurso humano para adelantar esta actividad.</t>
  </si>
  <si>
    <r>
      <t xml:space="preserve">Realizar búsqueda activa y pasiva a  </t>
    </r>
    <r>
      <rPr>
        <sz val="11"/>
        <color indexed="10"/>
        <rFont val="Calibri"/>
        <family val="2"/>
      </rPr>
      <t>4.760</t>
    </r>
    <r>
      <rPr>
        <sz val="11"/>
        <color theme="1"/>
        <rFont val="Calibri"/>
      </rPr>
      <t xml:space="preserve"> sintomáticos respiratorios en el municipio con apoyo de los prestadores de servicios de salud.</t>
    </r>
  </si>
  <si>
    <t xml:space="preserve">1( NO se realizaron unidades de analisis) </t>
  </si>
  <si>
    <t xml:space="preserve">TUBERCULOSIS (Plan territorial) </t>
  </si>
  <si>
    <t>Realizar vigilancia epidemiológica y Seguimiento al 100% de los casos diagnosticados con Lepra.</t>
  </si>
  <si>
    <t>Estas actividades ya no hacen parte del plan territorial ni del plan de accion del programa de Tuberculosis y Lepra.</t>
  </si>
  <si>
    <t>Realizar visitas de campo al 100% de los casos reportados  con lepra según  los  lineamientos  del  INS, con el fin de Fortalecer la adherencia al tratamiento y la búsqueda de  convivientes</t>
  </si>
  <si>
    <t>Realizar acciones acciones de Inspección, vigilancia y control  con enfoque de mediano  riesgo epidemiologico:en  por lo menos en el 60% de los establecimientos priorizados supermercados, depositos de alimentos, tiendas de barrio, tiendas naturistas, expendio de bebidas alcoholicas bares, billares y griles.</t>
  </si>
  <si>
    <t>Realizar 1000 acciones de caracterizacion de factores de riesgo a trabajadores del sector informal en los sectores priorizados</t>
  </si>
  <si>
    <t>Realizar 1000 acciones de promoción y prevención para la disminucion de factores de riesgo identificados en el sector informal</t>
  </si>
  <si>
    <t>Realizar reuniones con las ARL de factores de riesgo</t>
  </si>
  <si>
    <t>Desarrollar  productos comunicacionales y estragtegias IEC</t>
  </si>
  <si>
    <t xml:space="preserve">Realizar mínimo 2 veces al año visitas de asistencia técnica a las IPS para verificar cumplimiento de la normatividad para la atencion para la planificación familiar y la anticoncepción </t>
  </si>
  <si>
    <r>
      <t xml:space="preserve">Realizar unidades de análisis a los  </t>
    </r>
    <r>
      <rPr>
        <sz val="9"/>
        <rFont val="Arial"/>
        <family val="2"/>
      </rPr>
      <t>casos de  mortalidad perinatal de acuerdo con los lineamientos del INS</t>
    </r>
  </si>
  <si>
    <r>
      <t>Realizar mínimo 2 veces al año</t>
    </r>
    <r>
      <rPr>
        <sz val="9"/>
        <color indexed="10"/>
        <rFont val="Arial"/>
        <family val="2"/>
      </rPr>
      <t xml:space="preserve"> </t>
    </r>
    <r>
      <rPr>
        <sz val="9"/>
        <color theme="1"/>
        <rFont val="Calibri"/>
        <family val="2"/>
      </rPr>
      <t>visitas de asistencia técnica al 100% de las IPS para verificar cumplimiento de la normatividad para promover y mantener la salud integral del joven.</t>
    </r>
  </si>
  <si>
    <r>
      <t>Realizar visitas de asistencia técnica, seguimiento y acompañamiento en las</t>
    </r>
    <r>
      <rPr>
        <sz val="9"/>
        <color indexed="10"/>
        <rFont val="Arial"/>
        <family val="2"/>
      </rPr>
      <t xml:space="preserve"> </t>
    </r>
    <r>
      <rPr>
        <sz val="9"/>
        <color theme="1"/>
        <rFont val="Calibri"/>
        <family val="2"/>
      </rPr>
      <t xml:space="preserve"> EPS frente a la implementación del plan nacional de respuesta ante las ITS VIH/SIDA, incluyendo acciones colaborativas con tuberculosis</t>
    </r>
  </si>
  <si>
    <r>
      <t xml:space="preserve">Realizar seguimiento epidemiológico al 100% de casos notificados por SIVIGILA con dx de cáncer de mama y cérvix, y gestionar la notificación de los casos detectados por  BAI </t>
    </r>
    <r>
      <rPr>
        <sz val="9"/>
        <color rgb="FFFF0000"/>
        <rFont val="Calibri"/>
        <family val="2"/>
      </rPr>
      <t>(búsqueda activa institucional) (no esta en plan territorial)</t>
    </r>
  </si>
  <si>
    <r>
      <t>Realizar 4 unidades de análisis al 100% de los casos de morbi - mortalidad por cáncer de mama y cérvix, con frecuencia trimestral</t>
    </r>
    <r>
      <rPr>
        <sz val="9"/>
        <color rgb="FFFF0000"/>
        <rFont val="Calibri"/>
        <family val="2"/>
      </rPr>
      <t>(búsqueda activa institucional) (no esta en plan territorial)</t>
    </r>
  </si>
  <si>
    <t xml:space="preserve">Conformar 100 grupos de adolescentes y jóvenes en el ámbito escolar para la prevención de embarazo a temprana edad </t>
  </si>
  <si>
    <t>Realizar 20  jornadas de promoción de la salud y prevención de la enfermedad en los barrios intervenidos</t>
  </si>
  <si>
    <t>Total de jornadas programadas (50)</t>
  </si>
  <si>
    <t>Realizar acciones de  promocion y prevencion sobre  COVID-19 a los objetos de interes sanitario .</t>
  </si>
  <si>
    <t>Visitas programadas(66)</t>
  </si>
  <si>
    <t>visitas programadas a  EAPB en el municipio (26)</t>
  </si>
  <si>
    <t>Realizar 2500 búsqueda  activa comunitaria de casos de niños y niñas menores de 18 años con desnutrición</t>
  </si>
  <si>
    <t>total de niños programados para toma de datos antropomètricos  (25000)</t>
  </si>
  <si>
    <t>Realizar 4 jornadas de  actualizaciòn  en materia de salud nutricional dirigida a   IPS y EAPB del municipio</t>
  </si>
  <si>
    <t>Observación lll TRIMESTRE</t>
  </si>
  <si>
    <t>Es de anotar que la SSPySS ya no realiza RLCPD, sino acompañamiento en el proceso de remisión de usuarios para certificaicón en discapcaidad (Res 113 de 2020</t>
  </si>
  <si>
    <t>No se cuenta con recurso humano para esta actividad, sin embargo, el grupo de ATI y la profesional de discapacidad ha contribuido con algunas visitas</t>
  </si>
  <si>
    <t>Se han ralizado dos tipos de acciones: caracterización de población en cada nodo, y charlas puerta a puerta con la cartilla RBC</t>
  </si>
  <si>
    <t>Por contingencia no se han programado actividades masivas de actividad física debido a alto riesgo de contangio por COVID-19</t>
  </si>
  <si>
    <t>Realizar 70 acciones  de sensibilización para prevenir consumo de cigarrillo en los   grados 5to de primaria, 6to y 7mo en 70 instituciones educativas priorizadas.</t>
  </si>
  <si>
    <t>La contingencia y aislamiento de las I.E del municipio han impedido adelantar acciones por negativa de los rectores. Por el contrato PIC con la ESE salud Pereira, se ha realizado de manera adicional 1 colegio</t>
  </si>
  <si>
    <t>No se realizó una sola actividad masiva debido a contingencia, se decidió actualizar a las EAPB e IPS, de manera individual</t>
  </si>
  <si>
    <t>Esta meta es a demanda
En el III trimestre se radicaron en la SSPySS 6 solicitudes de certificación, de las cuales 3 centros fueron autorizados, 1 tiene hallazgos por subsanar, y 2 ingresaron el 28 de septiembre, por lo que están en trámite</t>
  </si>
  <si>
    <t>Este producto ha tenido barreras en su ejecución debido a que el acercamiento a grupos de personas mayores ha sido limitado por el alto riesgo de contagio de COVID-19 en este grupo poblacional</t>
  </si>
  <si>
    <t>Visitas de asitencia tecnica 2 veces al año al 100% de las  IPS priorizadas  que oferten los servicios y/o programas  de CA de prostata, CA de Colon, CA de recto, CA de estómago</t>
  </si>
  <si>
    <t>No se cuenta con recurso humano para esta actividad, sin embargo, el grupo de ATI  ha contribuido con la meta reportada</t>
  </si>
  <si>
    <t>Las visitas de malaria se intensificaron, en el corregimiento de Caimalito por la presencia de casos autóctonos</t>
  </si>
  <si>
    <t>Esta actividad se incrementó debido a los casos autóctonos de malaria</t>
  </si>
  <si>
    <t>Se realizó entrega del material educativo en las sedes para ser difundidas con los estudiantes.</t>
  </si>
  <si>
    <t>Esta actividad se hace normalmente.</t>
  </si>
  <si>
    <t>Se han realizado 32 programaciones semanales desde el mes de febrero</t>
  </si>
  <si>
    <t>Esta actividad se realizo en los meses de julio y agosto</t>
  </si>
  <si>
    <t>Para el tercer trimestre se resalta: 464 Casos notificados, No encontrados: 90, casos visitados 374, cumplimiento del 80,6%</t>
  </si>
  <si>
    <t>Esta actividad se viene realizando de manera individual en las visitas de índice aedico.</t>
  </si>
  <si>
    <t>Información de la estratégia APS</t>
  </si>
  <si>
    <t>En esta actividad ya se cumplió la meta pero se continuaran atendiendo solicitudes de la comunidad.</t>
  </si>
  <si>
    <t>Zoonosis: 27.730
Ips Vet: 5.100 
Total: 32.830</t>
  </si>
  <si>
    <t>Esta actividad se realizara durante el cuarto trimestre del año con fechas programadas entre el 13 al 20 de octubre, para lo cual ya se enviaron las notificaciones a la gerencia de cada IPS; sin embargo desde el programa zoonosis se ha enviado información virtual pertinente al personal médico de las diferentes UPGD</t>
  </si>
  <si>
    <t>Total de reportes recibidos en sivigila investigados.</t>
  </si>
  <si>
    <t>93,8% de reportes atendidos efectivos</t>
  </si>
  <si>
    <t>Mientras hubo restricciones para vacunar contra rabia, se aprovecho el apoyo del recurso humano para adelantar esta actividad. Según Camara y Comercio se cuenta con 136 establecimientos.</t>
  </si>
  <si>
    <t>Actualmente se avanza en la conclusión del segundo tercio de la primera etapa (fase 1 - análisis de la situación). En el tercer trimestre se encontró dificultad de acceder a los referentes intitucionales para el desarrollo de entrevistas de precepción de los involucrados.</t>
  </si>
  <si>
    <t>Los nodos comunitarios son una actividad misional de la dimensión “entornos saludables” que es apoyada desde el programa zoonosis con capacitaciones de convivencia responsable con animales de compañía y con vacunación antirrábica, se tiene programado un apoyo en vacunación en los nodos constituidos.</t>
  </si>
  <si>
    <t>Con la información de los casos o PQRs portadas se realizó el mapa cartográfico vigencia 2020.</t>
  </si>
  <si>
    <t xml:space="preserve">Para el tercer trimestre  se  han realizado 24 intervenciones a través de teletrabajo a todos los usuarios notificados en riesgo de abandono a tratamiento o en perdida de seguimiento, Brindando educación en reinicio y/o continuidad del tratamiento anti -TB evitando así la propagación y el contagio de los contactos domiciliarios y a la demás población del municipio. </t>
  </si>
  <si>
    <t>Para el tercer trimestre se han realizado 548 visitas a contactos y se tiene pendientes por ejecutar 10 visitas</t>
  </si>
  <si>
    <t>Para el cohorte del informe del 3 trimestre ( 25 sep) no se cuenta con el dato de Sintomaticos Respiratorios captados por los prestadores de salud  ya que la iniformacion es reportada en los primeros 5 dias del mes de octubre</t>
  </si>
  <si>
    <t xml:space="preserve">Para el tercer trimestre del 2020 se han realizado 49 visitas de seguimiento a la cohorte, las cuales se siguen implementando a través de teletrabajo, dentro de las visitas se buscaba fortalecer el proceso e implementación de la nueva Resolución 227 del 2020, además se tiene como objetivo verificar la supervisión estricta del tratamiento, seguimiento realizado al paciente por enfermería, médico y controles bacteriológico, el adecuado diligenciamiento de los formatos del programa como son: libro de pacientes, tarjeta de tratamiento, notificación al SIVIGILA y también la verificación y actualización de las condiciones de egreso de cada caso en tratamiento. </t>
  </si>
  <si>
    <t>Para el tercer trimestre se han realizado 13 visitas de asistencia técnica a las EAPB del municipio con un porcentaje general de cumplimiento del 76% (Medio). en la implementación y cumplimiento de los lineamientos técnicos y operativos de tuberculosis y Lepra.</t>
  </si>
  <si>
    <t xml:space="preserve">Para el tercer trimestre  se han realizado  4 actividades a centros de reclucion como carcel la 40,UPPV, Centro permanente del remanso y dijin estas intervenciones se han visto afectadas de forma significativa ante la emergencia sanitaria del covid- 19, adicional a esto se han presentado episodios de brotes en estas instituciones lo que ha limitado el ingreso del personal para ejecutar estas acciones de educación, identificación y sensibilización de los signos y síntomas de la tuberculosis y la lepra.   </t>
  </si>
  <si>
    <t xml:space="preserve">Para el tercer trimestre se han realizado 32 intervenciones a instituciones tales como los albergues provisionales de habitantes de calle y población migrante, población PVV y CBA de adulto mayor, estas actividades se han duplicado por manejo de COVID-19 y en apoyo articulado con el equipo Covid. </t>
  </si>
  <si>
    <t xml:space="preserve">Para el tercer trimestre se han realizado 5 visitas de asistencia tecnica a IPS ded atencion integral. </t>
  </si>
  <si>
    <t xml:space="preserve">Realizar 1 jornada de actualización a todas las EAPB, IPS y a la academia de acuerdo a los lineamientos programáticos en tuberculosis y lepra realizados por el INS.  </t>
  </si>
  <si>
    <t>Con corte al 31 de agosto se lleva un cumplimiento del  53% meta NV DANE (5638) y 63% meta NV RUAF (4720). Con la aplicado 2992 dosis de biologico trazador terceras de pentavalente en menroes de 1 año.</t>
  </si>
  <si>
    <t>Se llevo  cabo monitoreo municipal en el mes de septiembre, para un cumplimiento del 33%.</t>
  </si>
  <si>
    <t>Se dio inicio a los recorridos barriales, intrviniendo los corregimeintos de puerto caldas con (8 barrios),  Caimlito (8 barrios), Cerritos - Galicia (5 barrios) , para un cumplimiento del 11%.</t>
  </si>
  <si>
    <t>Se ha realizado 45 visitas de asistencia tecnica en IPS, 20 en el componente del Programa PAI y 25 en la Estrategia AIEPI, para un  del 78%.</t>
  </si>
  <si>
    <t>Se realizaron 13 visitas  de asistencia tecnica a las EAPB del municipio, ocn un cumplimeintto del 100%.</t>
  </si>
  <si>
    <t>No se han presentado casos de eventos supuestamente atribuibles a la vacunación o inmunización.</t>
  </si>
  <si>
    <t>Casos notificados: Tosferina 3 casos, Paralisis flacida 1 caso,  Rubeola 2 caso, IRAG 114 casos.</t>
  </si>
  <si>
    <t>Se intervino las unidades AIEPI comunitarias implementadas, con 48 actividades de mantenimiento para un cumplimiento del 80%</t>
  </si>
  <si>
    <t>Se ha realizado una unidad de analisis a un caso de motalidad por IRAG inusitado.</t>
  </si>
  <si>
    <t>Se han realizado 6 cursos AIEPI comunitarios para un cumplimiento del 75%.</t>
  </si>
  <si>
    <t>Cumplimiento de la meta con la estrategia casa sana, se cuenta con un avacne del 50%.</t>
  </si>
  <si>
    <t xml:space="preserve">Se tiene planeada la Actualizacion para el mes de octubre- noviembre con apoyo del ministerio de salud </t>
  </si>
  <si>
    <t>Se llevan a cabo 3 jornadas de vacunacion, para un cumplimiento del 75%.</t>
  </si>
  <si>
    <t>Se llevo a cabo la ejecucion de busquedas activas comunitarisas, durante los recorridos barriales, para un cumplimiento del 50%.</t>
  </si>
  <si>
    <t>Se ha realizado la ejecucion de 3 comites de vacunacion, 2 municipales y 1  en articulacion departamental, para un cumplimiento del  75%.</t>
  </si>
  <si>
    <t>Se llevo a cabo el cumplimiento de la meta con un cumplimiento del 161%.</t>
  </si>
  <si>
    <r>
      <t xml:space="preserve">Para el tercer trimesde del año se han realizado 57 visitas de asistencia técnica a las Ips del municipio teniendo así un porcentaje de cumplimiento general de 80% (Medio) en la implementación y cumplimiento de los lineamientos técnicos y operativos de tuberculosis y Lepra. </t>
    </r>
    <r>
      <rPr>
        <sz val="9"/>
        <color indexed="10"/>
        <rFont val="Calibri"/>
        <family val="2"/>
      </rPr>
      <t>( la meta para este indicador es de 66 visitas del año)</t>
    </r>
  </si>
  <si>
    <r>
      <t xml:space="preserve">Para el tercer trimestre se han  realizado 5 unidades de análisis por mortalidad de forma virtual, dentro de las 5 unidades de analisis ejecutadas de ha analizado un total de 15 casos,  se descartó a 4 casos el diagnóstico de tuberculosis , 5 casos fallecieron a causa de la coinfección con TB/VIH y 6 casos fallecieron a causa de la tuberculosis. </t>
    </r>
    <r>
      <rPr>
        <sz val="9"/>
        <color indexed="10"/>
        <rFont val="Calibri"/>
        <family val="2"/>
      </rPr>
      <t>( en los 2 primeros triestres no se ejecutaron unidades de analisis)</t>
    </r>
  </si>
  <si>
    <t>Observación lll Trimestre</t>
  </si>
  <si>
    <t>o</t>
  </si>
  <si>
    <t xml:space="preserve">Esta actividad esta programada para el IV Trimestre </t>
  </si>
  <si>
    <t xml:space="preserve">Estas (1.440)caracterizaciones No se han realizado ya que a la fecha el programa de RL No cuenta con el personal suficiente. </t>
  </si>
  <si>
    <t xml:space="preserve"> No se han realizado ya que a la fecha el programa de RL No cuenta con el personal suficiente. </t>
  </si>
  <si>
    <t>Esta activdad ,se realiza mensualmente.</t>
  </si>
  <si>
    <t>49,6% de cumplimiento. Familias que se han caacterizado por medio instrumento ficha familiar. La demora en contartacion por parte de la ESE ha disminiodo las posibilidades de un cumplimiento superior</t>
  </si>
  <si>
    <t>se logra socilaizacion en el 100% de los barrios priorizados</t>
  </si>
  <si>
    <t>40,7% de cumplimiento. El quipo de trabajadoras sociales no ha ingresado en su totalidad, lo cual afecta el cumplimiento</t>
  </si>
  <si>
    <t>Avance positivo en el cumplimiento de actividades de intervención breve. Familias que han sugerido algun grado de disfuncionalidad en el proceso de caracterización</t>
  </si>
  <si>
    <t>Se realiza promoción de la sana convivencia en el 87% de barrios priorizados. La promocion se realiza a través de sesiones educativas virtuales, visitas familiares y acciones de perifoneo.</t>
  </si>
  <si>
    <t>porcentaje de cumplimiento del 98%.</t>
  </si>
  <si>
    <t xml:space="preserve">las educaiocnes se relaizan en temas priorizados alunos de ellos signos de alarma en la gestacion, procesos de desinfeccion y limpieza, prevención del delito sexual, trata d eperosnas, entre otros. Meta que esta sujeta al cumplimiento en la contratacion por parte de la ese slaud pereira. </t>
  </si>
  <si>
    <t>Meta que no tendrá efectivo cumplimiento dadas las condiciones de la emergencia sanitaria. Su ejecución ideal es tipo festival en el ámbito barrial. Las cinco jornadas reportadas se realizaron desde la virtualidad</t>
  </si>
  <si>
    <t>Familias priorizadas dada la clasificaicon del riesgo. La meta 4200. (68%)</t>
  </si>
  <si>
    <t>Se realia a través de visitas a familias indigenas. En secores Casa sana de caimalito, Puerto caldas, Galicia</t>
  </si>
  <si>
    <t>se cumple meta propuesta para el año</t>
  </si>
  <si>
    <t>cumplimiento del 100% , en las 50 Instituciones educativas</t>
  </si>
  <si>
    <t>Se espera hacer seguimiento al plan de mejoramiento de las EAPB a partir de octubre.</t>
  </si>
  <si>
    <t xml:space="preserve">Se amplica la cobertura a los 8 CDI del Municipio realizando 1929 acciones  de estimulación en primera infancia de manera acumulada. Se cumple con el 100% con relación a lo proyectado </t>
  </si>
  <si>
    <t>Realizar 55 cursos de  consejeria en lactancia materna cen el àmbito institucional y  comunitario</t>
  </si>
  <si>
    <t>Cumplimiento total tercer trimestre</t>
  </si>
  <si>
    <t xml:space="preserve">cumplimiento tercer trimestre </t>
  </si>
  <si>
    <t>Cumplimiento tercer trimestre</t>
  </si>
  <si>
    <t>Cumplimiento tercer trimestre.</t>
  </si>
  <si>
    <t xml:space="preserve">Cumplimiento total tercer trimestre </t>
  </si>
  <si>
    <t>Observación lll trimestre</t>
  </si>
  <si>
    <t xml:space="preserve">Cumplimiento tercer trimeste </t>
  </si>
  <si>
    <t>Cumplimiento tercer trimestre total</t>
  </si>
  <si>
    <t>CUMPLIMIENTO EN PORCENTAJE tercer trimestre</t>
  </si>
  <si>
    <t xml:space="preserve">Tercero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</si>
</sst>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 #,##0.00_-;\-&quot;$&quot;\ * #,##0.00_-;_-&quot;$&quot;\ * &quot;-&quot;??_-;_-@_-"/>
    <numFmt numFmtId="43" formatCode="_-* #,##0.00_-;\-* #,##0.00_-;_-* &quot;-&quot;??_-;_-@_-"/>
    <numFmt numFmtId="164" formatCode="_ * #,##0_ ;_ * \-#,##0_ ;_ * &quot;-&quot;_ ;_ @_ "/>
    <numFmt numFmtId="165" formatCode="0.0"/>
    <numFmt numFmtId="166" formatCode="_(* #,##0.00_);_(* \(#,##0.00\);_(* &quot;-&quot;??_);_(@_)"/>
    <numFmt numFmtId="167" formatCode="_-* #,##0_-;\-* #,##0_-;_-* &quot;-&quot;??_-;_-@_-"/>
    <numFmt numFmtId="168" formatCode="0.0%"/>
  </numFmts>
  <fonts count="50" x14ac:knownFonts="1">
    <font>
      <sz val="11"/>
      <color theme="1"/>
      <name val="Calibri"/>
    </font>
    <font>
      <sz val="11"/>
      <color theme="1"/>
      <name val="Calibri"/>
      <family val="2"/>
      <scheme val="minor"/>
    </font>
    <font>
      <sz val="11"/>
      <color theme="1"/>
      <name val="Calibri"/>
      <family val="2"/>
      <scheme val="minor"/>
    </font>
    <font>
      <sz val="11"/>
      <color theme="1"/>
      <name val="Calibri"/>
      <family val="2"/>
      <scheme val="minor"/>
    </font>
    <font>
      <sz val="10"/>
      <color theme="1"/>
      <name val="Calibri"/>
      <family val="2"/>
    </font>
    <font>
      <b/>
      <sz val="10"/>
      <color theme="1"/>
      <name val="Calibri"/>
      <family val="2"/>
    </font>
    <font>
      <sz val="9"/>
      <color indexed="81"/>
      <name val="Tahoma"/>
      <family val="2"/>
    </font>
    <font>
      <b/>
      <sz val="9"/>
      <color indexed="81"/>
      <name val="Tahoma"/>
      <family val="2"/>
    </font>
    <font>
      <sz val="10"/>
      <name val="Calibri"/>
      <family val="2"/>
    </font>
    <font>
      <sz val="11"/>
      <color theme="1"/>
      <name val="Calibri"/>
      <family val="2"/>
    </font>
    <font>
      <sz val="11"/>
      <color rgb="FFFF0000"/>
      <name val="Calibri"/>
      <family val="2"/>
      <scheme val="minor"/>
    </font>
    <font>
      <sz val="9"/>
      <color theme="1"/>
      <name val="Arial"/>
      <family val="2"/>
    </font>
    <font>
      <sz val="10"/>
      <color theme="1"/>
      <name val="Arial"/>
      <family val="2"/>
    </font>
    <font>
      <sz val="9"/>
      <name val="Arial"/>
      <family val="2"/>
    </font>
    <font>
      <b/>
      <sz val="9"/>
      <color indexed="8"/>
      <name val="Arial"/>
      <family val="2"/>
    </font>
    <font>
      <sz val="11"/>
      <name val="Calibri"/>
      <family val="2"/>
      <scheme val="minor"/>
    </font>
    <font>
      <sz val="10"/>
      <name val="Arial"/>
      <family val="2"/>
    </font>
    <font>
      <sz val="11"/>
      <color rgb="FF000000"/>
      <name val="Arial"/>
      <family val="2"/>
    </font>
    <font>
      <sz val="11"/>
      <name val="Calibri"/>
      <family val="2"/>
    </font>
    <font>
      <sz val="12"/>
      <color theme="1"/>
      <name val="Calibri"/>
      <family val="2"/>
      <scheme val="minor"/>
    </font>
    <font>
      <sz val="11"/>
      <color theme="1"/>
      <name val="Calibri"/>
      <family val="2"/>
    </font>
    <font>
      <b/>
      <sz val="11"/>
      <color theme="1"/>
      <name val="Calibri"/>
      <family val="2"/>
    </font>
    <font>
      <sz val="9"/>
      <color indexed="81"/>
      <name val="Tahoma"/>
      <charset val="1"/>
    </font>
    <font>
      <b/>
      <sz val="9"/>
      <color indexed="81"/>
      <name val="Tahoma"/>
      <charset val="1"/>
    </font>
    <font>
      <sz val="11"/>
      <color theme="1"/>
      <name val="Calibri"/>
    </font>
    <font>
      <sz val="11"/>
      <color theme="2"/>
      <name val="Calibri"/>
      <family val="2"/>
    </font>
    <font>
      <sz val="12"/>
      <color theme="1"/>
      <name val="Calibri"/>
      <family val="2"/>
    </font>
    <font>
      <sz val="9"/>
      <color theme="1"/>
      <name val="Calibri"/>
      <family val="2"/>
    </font>
    <font>
      <b/>
      <sz val="9"/>
      <color theme="1"/>
      <name val="Calibri"/>
      <family val="2"/>
    </font>
    <font>
      <b/>
      <sz val="9"/>
      <color theme="1"/>
      <name val="Calibri"/>
      <family val="2"/>
      <scheme val="minor"/>
    </font>
    <font>
      <sz val="9"/>
      <color theme="1"/>
      <name val="Calibri"/>
      <family val="2"/>
      <scheme val="minor"/>
    </font>
    <font>
      <sz val="9"/>
      <name val="Calibri"/>
      <family val="2"/>
    </font>
    <font>
      <sz val="8"/>
      <color theme="1"/>
      <name val="Calibri"/>
      <family val="2"/>
    </font>
    <font>
      <sz val="8"/>
      <color theme="1"/>
      <name val="Arial"/>
      <family val="2"/>
    </font>
    <font>
      <sz val="11"/>
      <color indexed="10"/>
      <name val="Calibri"/>
      <family val="2"/>
    </font>
    <font>
      <sz val="14"/>
      <color theme="1"/>
      <name val="Calibri"/>
      <family val="2"/>
      <scheme val="minor"/>
    </font>
    <font>
      <sz val="14"/>
      <color theme="1"/>
      <name val="Calibri"/>
      <family val="2"/>
    </font>
    <font>
      <b/>
      <sz val="11"/>
      <name val="Calibri"/>
      <family val="2"/>
    </font>
    <font>
      <sz val="11"/>
      <name val="Arial Narrow"/>
      <family val="2"/>
    </font>
    <font>
      <sz val="11"/>
      <color theme="1"/>
      <name val="Arial"/>
      <family val="2"/>
    </font>
    <font>
      <b/>
      <sz val="10"/>
      <color theme="1"/>
      <name val="Arial"/>
      <family val="2"/>
    </font>
    <font>
      <sz val="12"/>
      <color theme="1"/>
      <name val="Arial"/>
      <family val="2"/>
    </font>
    <font>
      <sz val="9"/>
      <color rgb="FFFF0000"/>
      <name val="Calibri"/>
      <family val="2"/>
    </font>
    <font>
      <sz val="9"/>
      <color indexed="10"/>
      <name val="Arial"/>
      <family val="2"/>
    </font>
    <font>
      <b/>
      <sz val="12"/>
      <color theme="1"/>
      <name val="Calibri"/>
      <family val="2"/>
    </font>
    <font>
      <b/>
      <sz val="12"/>
      <color theme="1"/>
      <name val="Arial"/>
      <family val="2"/>
    </font>
    <font>
      <sz val="12"/>
      <name val="Arial"/>
      <family val="2"/>
    </font>
    <font>
      <sz val="12"/>
      <name val="Calibri"/>
      <family val="2"/>
    </font>
    <font>
      <sz val="10"/>
      <color theme="1"/>
      <name val="Calibri"/>
      <family val="2"/>
      <scheme val="minor"/>
    </font>
    <font>
      <sz val="9"/>
      <color indexed="10"/>
      <name val="Calibri"/>
      <family val="2"/>
    </font>
  </fonts>
  <fills count="20">
    <fill>
      <patternFill patternType="none"/>
    </fill>
    <fill>
      <patternFill patternType="gray125"/>
    </fill>
    <fill>
      <patternFill patternType="solid">
        <fgColor rgb="FFD8D8D8"/>
        <bgColor rgb="FFD8D8D8"/>
      </patternFill>
    </fill>
    <fill>
      <patternFill patternType="solid">
        <fgColor rgb="FFBFBFBF"/>
        <bgColor rgb="FFBFBFBF"/>
      </patternFill>
    </fill>
    <fill>
      <patternFill patternType="solid">
        <fgColor theme="0"/>
        <bgColor theme="0"/>
      </patternFill>
    </fill>
    <fill>
      <patternFill patternType="solid">
        <fgColor rgb="FFFF0000"/>
        <bgColor indexed="64"/>
      </patternFill>
    </fill>
    <fill>
      <patternFill patternType="solid">
        <fgColor rgb="FF17F922"/>
        <bgColor indexed="64"/>
      </patternFill>
    </fill>
    <fill>
      <patternFill patternType="solid">
        <fgColor rgb="FFD8D8D8"/>
        <bgColor indexed="64"/>
      </patternFill>
    </fill>
    <fill>
      <patternFill patternType="solid">
        <fgColor rgb="FFBFBFBF"/>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indexed="9"/>
        <bgColor indexed="26"/>
      </patternFill>
    </fill>
    <fill>
      <patternFill patternType="solid">
        <fgColor theme="0"/>
        <bgColor indexed="26"/>
      </patternFill>
    </fill>
    <fill>
      <patternFill patternType="solid">
        <fgColor rgb="FF17F922"/>
        <bgColor theme="0"/>
      </patternFill>
    </fill>
    <fill>
      <patternFill patternType="solid">
        <fgColor rgb="FFFF0000"/>
        <bgColor theme="0"/>
      </patternFill>
    </fill>
    <fill>
      <patternFill patternType="solid">
        <fgColor rgb="FFFFFF00"/>
        <bgColor theme="0"/>
      </patternFill>
    </fill>
    <fill>
      <patternFill patternType="solid">
        <fgColor rgb="FF00FF00"/>
        <bgColor indexed="64"/>
      </patternFill>
    </fill>
    <fill>
      <patternFill patternType="solid">
        <fgColor rgb="FF7030A0"/>
        <bgColor indexed="64"/>
      </patternFill>
    </fill>
  </fills>
  <borders count="3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top style="medium">
        <color rgb="FFCCCCCC"/>
      </top>
      <bottom style="medium">
        <color rgb="FF000000"/>
      </bottom>
      <diagonal/>
    </border>
    <border>
      <left/>
      <right/>
      <top style="medium">
        <color rgb="FFCCCCCC"/>
      </top>
      <bottom style="medium">
        <color rgb="FF000000"/>
      </bottom>
      <diagonal/>
    </border>
    <border>
      <left/>
      <right style="medium">
        <color rgb="FFCCCCCC"/>
      </right>
      <top style="medium">
        <color rgb="FFCCCCCC"/>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000000"/>
      </left>
      <right/>
      <top style="medium">
        <color rgb="FF000000"/>
      </top>
      <bottom style="medium">
        <color rgb="FF000000"/>
      </bottom>
      <diagonal/>
    </border>
    <border>
      <left style="medium">
        <color rgb="FF000000"/>
      </left>
      <right/>
      <top style="medium">
        <color rgb="FFCCCCCC"/>
      </top>
      <bottom style="medium">
        <color rgb="FF000000"/>
      </bottom>
      <diagonal/>
    </border>
    <border>
      <left/>
      <right/>
      <top/>
      <bottom style="medium">
        <color rgb="FF000000"/>
      </bottom>
      <diagonal/>
    </border>
    <border>
      <left style="medium">
        <color rgb="FFCCCCCC"/>
      </left>
      <right style="medium">
        <color rgb="FF000000"/>
      </right>
      <top style="medium">
        <color rgb="FFCCCCCC"/>
      </top>
      <bottom/>
      <diagonal/>
    </border>
    <border>
      <left style="medium">
        <color rgb="FFCCCCCC"/>
      </left>
      <right/>
      <top style="medium">
        <color rgb="FFCCCCCC"/>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rgb="FF000000"/>
      </right>
      <top style="medium">
        <color rgb="FFCCCCCC"/>
      </top>
      <bottom style="medium">
        <color rgb="FF000000"/>
      </bottom>
      <diagonal/>
    </border>
    <border>
      <left/>
      <right style="medium">
        <color rgb="FF000000"/>
      </right>
      <top style="medium">
        <color rgb="FFCCCCCC"/>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s>
  <cellStyleXfs count="30">
    <xf numFmtId="0" fontId="0" fillId="0" borderId="0"/>
    <xf numFmtId="164" fontId="9" fillId="0" borderId="0" applyFont="0" applyFill="0" applyBorder="0" applyAlignment="0" applyProtection="0"/>
    <xf numFmtId="9" fontId="9" fillId="0" borderId="0" applyFont="0" applyFill="0" applyBorder="0" applyAlignment="0" applyProtection="0"/>
    <xf numFmtId="0" fontId="9" fillId="0" borderId="7"/>
    <xf numFmtId="164" fontId="9" fillId="0" borderId="7" applyFont="0" applyFill="0" applyBorder="0" applyAlignment="0" applyProtection="0"/>
    <xf numFmtId="0" fontId="3" fillId="0" borderId="7"/>
    <xf numFmtId="166" fontId="3" fillId="0" borderId="7" applyFont="0" applyFill="0" applyBorder="0" applyAlignment="0" applyProtection="0"/>
    <xf numFmtId="0" fontId="19" fillId="0" borderId="7"/>
    <xf numFmtId="9" fontId="3" fillId="0" borderId="7" applyFont="0" applyFill="0" applyBorder="0" applyAlignment="0" applyProtection="0"/>
    <xf numFmtId="166" fontId="3" fillId="0" borderId="7" applyFont="0" applyFill="0" applyBorder="0" applyAlignment="0" applyProtection="0"/>
    <xf numFmtId="166" fontId="3" fillId="0" borderId="7" applyFont="0" applyFill="0" applyBorder="0" applyAlignment="0" applyProtection="0"/>
    <xf numFmtId="166" fontId="3" fillId="0" borderId="7" applyFont="0" applyFill="0" applyBorder="0" applyAlignment="0" applyProtection="0"/>
    <xf numFmtId="0" fontId="2" fillId="0" borderId="7"/>
    <xf numFmtId="166" fontId="2" fillId="0" borderId="7" applyFont="0" applyFill="0" applyBorder="0" applyAlignment="0" applyProtection="0"/>
    <xf numFmtId="0" fontId="16" fillId="0" borderId="7"/>
    <xf numFmtId="9" fontId="2" fillId="0" borderId="7" applyFont="0" applyFill="0" applyBorder="0" applyAlignment="0" applyProtection="0"/>
    <xf numFmtId="9" fontId="16" fillId="0" borderId="7" applyFont="0" applyFill="0" applyBorder="0" applyAlignment="0" applyProtection="0"/>
    <xf numFmtId="9" fontId="16" fillId="0" borderId="7" applyFont="0" applyFill="0" applyBorder="0" applyAlignment="0" applyProtection="0"/>
    <xf numFmtId="166" fontId="2" fillId="0" borderId="7" applyFont="0" applyFill="0" applyBorder="0" applyAlignment="0" applyProtection="0"/>
    <xf numFmtId="166" fontId="2" fillId="0" borderId="7" applyFont="0" applyFill="0" applyBorder="0" applyAlignment="0" applyProtection="0"/>
    <xf numFmtId="166" fontId="2" fillId="0" borderId="7" applyFont="0" applyFill="0" applyBorder="0" applyAlignment="0" applyProtection="0"/>
    <xf numFmtId="166" fontId="2" fillId="0" borderId="7" applyFont="0" applyFill="0" applyBorder="0" applyAlignment="0" applyProtection="0"/>
    <xf numFmtId="166" fontId="2" fillId="0" borderId="7" applyFont="0" applyFill="0" applyBorder="0" applyAlignment="0" applyProtection="0"/>
    <xf numFmtId="0" fontId="1" fillId="0" borderId="7"/>
    <xf numFmtId="166" fontId="1" fillId="0" borderId="7" applyFont="0" applyFill="0" applyBorder="0" applyAlignment="0" applyProtection="0"/>
    <xf numFmtId="9" fontId="1" fillId="0" borderId="7" applyFont="0" applyFill="0" applyBorder="0" applyAlignment="0" applyProtection="0"/>
    <xf numFmtId="166" fontId="1" fillId="0" borderId="7" applyFont="0" applyFill="0" applyBorder="0" applyAlignment="0" applyProtection="0"/>
    <xf numFmtId="166" fontId="1" fillId="0" borderId="7" applyFont="0" applyFill="0" applyBorder="0" applyAlignment="0" applyProtection="0"/>
    <xf numFmtId="44" fontId="24" fillId="0" borderId="0" applyFont="0" applyFill="0" applyBorder="0" applyAlignment="0" applyProtection="0"/>
    <xf numFmtId="43" fontId="24" fillId="0" borderId="0" applyFont="0" applyFill="0" applyBorder="0" applyAlignment="0" applyProtection="0"/>
  </cellStyleXfs>
  <cellXfs count="740">
    <xf numFmtId="0" fontId="0" fillId="0" borderId="0" xfId="0" applyFont="1" applyAlignment="1"/>
    <xf numFmtId="0" fontId="5" fillId="7" borderId="22" xfId="0" applyFont="1" applyFill="1" applyBorder="1" applyAlignment="1">
      <alignment horizontal="center" vertical="center" wrapText="1"/>
    </xf>
    <xf numFmtId="0" fontId="5" fillId="7" borderId="23" xfId="0" applyFont="1" applyFill="1" applyBorder="1" applyAlignment="1">
      <alignment horizontal="center" vertical="center" wrapText="1"/>
    </xf>
    <xf numFmtId="0" fontId="4" fillId="0" borderId="0" xfId="0" applyFont="1" applyAlignment="1">
      <alignment wrapText="1"/>
    </xf>
    <xf numFmtId="0" fontId="4" fillId="0" borderId="0" xfId="0" applyFont="1" applyAlignment="1">
      <alignment horizontal="center" vertical="center"/>
    </xf>
    <xf numFmtId="0" fontId="5" fillId="0" borderId="8" xfId="0" applyFont="1" applyBorder="1" applyAlignment="1">
      <alignment horizontal="center" vertical="center" wrapText="1"/>
    </xf>
    <xf numFmtId="0" fontId="5" fillId="0" borderId="24" xfId="0" applyFont="1" applyBorder="1" applyAlignment="1">
      <alignment horizontal="center" vertical="center" wrapText="1"/>
    </xf>
    <xf numFmtId="0" fontId="4" fillId="0" borderId="0" xfId="0" applyFont="1" applyAlignment="1"/>
    <xf numFmtId="0" fontId="4" fillId="0" borderId="8" xfId="0" applyFont="1" applyBorder="1" applyAlignment="1">
      <alignment horizontal="left" vertical="center" wrapText="1"/>
    </xf>
    <xf numFmtId="0" fontId="4" fillId="10" borderId="8" xfId="0" applyFont="1" applyFill="1" applyBorder="1" applyAlignment="1">
      <alignment horizontal="left" vertical="center" wrapText="1"/>
    </xf>
    <xf numFmtId="0" fontId="4" fillId="10" borderId="8" xfId="0" applyFont="1" applyFill="1" applyBorder="1" applyAlignment="1">
      <alignment wrapText="1"/>
    </xf>
    <xf numFmtId="0" fontId="4" fillId="0" borderId="7" xfId="0" applyFont="1" applyFill="1" applyBorder="1" applyAlignment="1"/>
    <xf numFmtId="0" fontId="4" fillId="0" borderId="8" xfId="0" applyFont="1" applyBorder="1" applyAlignment="1">
      <alignment horizontal="center" vertical="center" wrapText="1"/>
    </xf>
    <xf numFmtId="0" fontId="4" fillId="5" borderId="8" xfId="0" applyFont="1" applyFill="1" applyBorder="1" applyAlignment="1"/>
    <xf numFmtId="0" fontId="4" fillId="6" borderId="8" xfId="0" applyFont="1" applyFill="1" applyBorder="1" applyAlignment="1"/>
    <xf numFmtId="0" fontId="8" fillId="0" borderId="8" xfId="0" applyFont="1" applyBorder="1" applyAlignment="1">
      <alignment horizontal="center" vertical="center" wrapText="1"/>
    </xf>
    <xf numFmtId="0" fontId="4" fillId="5" borderId="8" xfId="0" applyFont="1" applyFill="1" applyBorder="1" applyAlignment="1">
      <alignment horizontal="left" vertical="center" wrapText="1"/>
    </xf>
    <xf numFmtId="0" fontId="4" fillId="6" borderId="8" xfId="0" applyFont="1" applyFill="1" applyBorder="1" applyAlignment="1">
      <alignment horizontal="left" vertical="center" wrapText="1"/>
    </xf>
    <xf numFmtId="0" fontId="0" fillId="0" borderId="8" xfId="0" applyBorder="1"/>
    <xf numFmtId="0" fontId="0" fillId="11" borderId="8" xfId="0" applyFill="1" applyBorder="1"/>
    <xf numFmtId="0" fontId="5" fillId="7" borderId="8" xfId="0" applyFont="1" applyFill="1" applyBorder="1" applyAlignment="1">
      <alignment horizontal="left" vertical="center" wrapText="1"/>
    </xf>
    <xf numFmtId="0" fontId="5" fillId="8" borderId="8" xfId="0" applyFont="1" applyFill="1" applyBorder="1" applyAlignment="1">
      <alignment horizontal="center" vertical="center" wrapText="1"/>
    </xf>
    <xf numFmtId="0" fontId="5" fillId="9" borderId="8" xfId="0" applyFont="1" applyFill="1" applyBorder="1" applyAlignment="1">
      <alignment horizontal="center" vertical="center" wrapText="1"/>
    </xf>
    <xf numFmtId="1" fontId="5" fillId="0" borderId="8" xfId="0" applyNumberFormat="1" applyFont="1" applyBorder="1" applyAlignment="1">
      <alignment horizontal="center" vertical="center" wrapText="1"/>
    </xf>
    <xf numFmtId="0" fontId="5" fillId="7" borderId="8" xfId="0" applyFont="1" applyFill="1" applyBorder="1" applyAlignment="1">
      <alignment horizontal="center" vertical="center" wrapText="1"/>
    </xf>
    <xf numFmtId="0" fontId="5" fillId="7" borderId="27" xfId="0" applyFont="1" applyFill="1" applyBorder="1" applyAlignment="1">
      <alignment horizontal="center" vertical="center" wrapText="1"/>
    </xf>
    <xf numFmtId="0" fontId="0" fillId="12" borderId="8" xfId="0" applyFill="1" applyBorder="1" applyAlignment="1">
      <alignment horizontal="left" vertical="center" wrapText="1"/>
    </xf>
    <xf numFmtId="0" fontId="5" fillId="8" borderId="24" xfId="0" applyFont="1" applyFill="1" applyBorder="1" applyAlignment="1">
      <alignment horizontal="center" vertical="center" wrapText="1"/>
    </xf>
    <xf numFmtId="0" fontId="5" fillId="9" borderId="24" xfId="0" applyFont="1" applyFill="1" applyBorder="1" applyAlignment="1">
      <alignment horizontal="center" vertical="center" wrapText="1"/>
    </xf>
    <xf numFmtId="1" fontId="5" fillId="0" borderId="24" xfId="0" applyNumberFormat="1" applyFont="1" applyBorder="1" applyAlignment="1">
      <alignment horizontal="center" vertical="center" wrapText="1"/>
    </xf>
    <xf numFmtId="0" fontId="5" fillId="7" borderId="24" xfId="0" applyFont="1" applyFill="1" applyBorder="1" applyAlignment="1">
      <alignment horizontal="center" vertical="center" wrapText="1"/>
    </xf>
    <xf numFmtId="0" fontId="0" fillId="11" borderId="8" xfId="0" applyFont="1" applyFill="1" applyBorder="1" applyAlignment="1">
      <alignment horizontal="center" vertical="center" wrapText="1"/>
    </xf>
    <xf numFmtId="0" fontId="0" fillId="0" borderId="8" xfId="0" applyFont="1" applyBorder="1" applyAlignment="1">
      <alignment horizontal="left" vertical="center" wrapText="1"/>
    </xf>
    <xf numFmtId="0" fontId="0" fillId="0" borderId="8" xfId="0" applyFont="1" applyFill="1" applyBorder="1" applyAlignment="1">
      <alignment horizontal="left" vertical="center" wrapText="1"/>
    </xf>
    <xf numFmtId="0" fontId="15" fillId="0" borderId="8" xfId="0" applyNumberFormat="1" applyFont="1" applyFill="1" applyBorder="1" applyAlignment="1">
      <alignment horizontal="left" vertical="center" wrapText="1"/>
    </xf>
    <xf numFmtId="0" fontId="0" fillId="0" borderId="8" xfId="0" applyFont="1" applyBorder="1" applyAlignment="1">
      <alignment horizontal="center" vertical="center" wrapText="1"/>
    </xf>
    <xf numFmtId="0" fontId="0" fillId="0" borderId="8" xfId="0" applyFont="1" applyFill="1" applyBorder="1" applyAlignment="1">
      <alignment horizontal="center" vertical="center" wrapText="1"/>
    </xf>
    <xf numFmtId="1" fontId="0" fillId="0" borderId="8" xfId="0" applyNumberFormat="1" applyFont="1" applyFill="1" applyBorder="1" applyAlignment="1">
      <alignment horizontal="center" vertical="center" wrapText="1"/>
    </xf>
    <xf numFmtId="0" fontId="0" fillId="0" borderId="25" xfId="0" applyFont="1" applyBorder="1" applyAlignment="1">
      <alignment horizontal="left" vertical="center" wrapText="1"/>
    </xf>
    <xf numFmtId="0" fontId="0" fillId="0" borderId="28" xfId="0" applyFont="1" applyBorder="1" applyAlignment="1">
      <alignment horizontal="left" vertical="center" wrapText="1"/>
    </xf>
    <xf numFmtId="0" fontId="0" fillId="0" borderId="0" xfId="0" applyFont="1" applyAlignment="1">
      <alignment horizontal="center" vertical="center"/>
    </xf>
    <xf numFmtId="0" fontId="4" fillId="0" borderId="0" xfId="0" applyFont="1" applyAlignment="1">
      <alignment horizontal="center" vertical="center" wrapText="1"/>
    </xf>
    <xf numFmtId="0" fontId="4" fillId="5" borderId="8" xfId="0" applyFont="1" applyFill="1" applyBorder="1" applyAlignment="1">
      <alignment horizontal="center" vertical="center" wrapText="1"/>
    </xf>
    <xf numFmtId="0" fontId="4" fillId="5" borderId="8" xfId="0" applyFont="1" applyFill="1" applyBorder="1" applyAlignment="1">
      <alignment horizontal="center" vertical="center"/>
    </xf>
    <xf numFmtId="0" fontId="4" fillId="10" borderId="8"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8" xfId="0" applyFont="1" applyFill="1" applyBorder="1" applyAlignment="1">
      <alignment horizontal="center" vertical="center"/>
    </xf>
    <xf numFmtId="0" fontId="0" fillId="0" borderId="8" xfId="0" applyFill="1" applyBorder="1" applyAlignment="1">
      <alignment horizontal="center" vertical="center"/>
    </xf>
    <xf numFmtId="0" fontId="4" fillId="0" borderId="8" xfId="0" applyFont="1" applyBorder="1" applyAlignment="1">
      <alignment horizontal="center" vertical="center" wrapText="1"/>
    </xf>
    <xf numFmtId="0" fontId="0" fillId="0" borderId="8" xfId="0" applyBorder="1" applyAlignment="1">
      <alignment horizontal="left" vertical="center" wrapText="1"/>
    </xf>
    <xf numFmtId="0" fontId="0" fillId="5" borderId="8" xfId="0" applyFont="1" applyFill="1" applyBorder="1" applyAlignment="1">
      <alignment horizontal="center" vertical="center"/>
    </xf>
    <xf numFmtId="0" fontId="0" fillId="6" borderId="8" xfId="0" applyFont="1" applyFill="1" applyBorder="1" applyAlignment="1">
      <alignment horizontal="center" vertical="center"/>
    </xf>
    <xf numFmtId="165" fontId="0" fillId="6" borderId="8" xfId="0" applyNumberFormat="1" applyFont="1" applyFill="1" applyBorder="1" applyAlignment="1">
      <alignment horizontal="center" vertical="center"/>
    </xf>
    <xf numFmtId="0" fontId="0" fillId="0" borderId="8" xfId="0" applyFill="1" applyBorder="1" applyAlignment="1">
      <alignment horizontal="left" vertical="center" wrapText="1"/>
    </xf>
    <xf numFmtId="0" fontId="0" fillId="0" borderId="8" xfId="0" applyBorder="1" applyAlignment="1">
      <alignment horizontal="left" vertical="center"/>
    </xf>
    <xf numFmtId="0" fontId="0" fillId="0" borderId="0" xfId="0" applyFont="1" applyAlignment="1">
      <alignment wrapText="1"/>
    </xf>
    <xf numFmtId="0" fontId="0" fillId="0" borderId="0" xfId="0" applyFont="1" applyAlignment="1">
      <alignment horizontal="left" wrapText="1"/>
    </xf>
    <xf numFmtId="0" fontId="0" fillId="0" borderId="0" xfId="0" applyFont="1" applyAlignment="1">
      <alignment horizontal="left" vertical="top" wrapText="1"/>
    </xf>
    <xf numFmtId="0" fontId="4" fillId="0" borderId="7" xfId="0" applyFont="1" applyFill="1" applyBorder="1" applyAlignment="1">
      <alignment horizontal="left" vertical="center" wrapText="1"/>
    </xf>
    <xf numFmtId="0" fontId="0" fillId="0" borderId="8" xfId="0" applyFont="1" applyBorder="1" applyAlignment="1">
      <alignment vertical="center"/>
    </xf>
    <xf numFmtId="0" fontId="0" fillId="0" borderId="8" xfId="0" applyFont="1" applyBorder="1" applyAlignment="1">
      <alignment horizontal="left" vertical="center"/>
    </xf>
    <xf numFmtId="0" fontId="0" fillId="6" borderId="8" xfId="0" applyFont="1" applyFill="1" applyBorder="1" applyAlignment="1">
      <alignment horizontal="left" vertical="center"/>
    </xf>
    <xf numFmtId="9" fontId="0" fillId="0" borderId="8" xfId="0" applyNumberFormat="1" applyBorder="1" applyAlignment="1">
      <alignment horizontal="left" vertical="center" wrapText="1"/>
    </xf>
    <xf numFmtId="0" fontId="0" fillId="0" borderId="8" xfId="0" applyFill="1" applyBorder="1" applyAlignment="1">
      <alignment horizontal="left" vertical="center"/>
    </xf>
    <xf numFmtId="1" fontId="3" fillId="0" borderId="8" xfId="2" applyNumberFormat="1" applyFont="1" applyFill="1" applyBorder="1" applyAlignment="1">
      <alignment horizontal="left" vertical="center"/>
    </xf>
    <xf numFmtId="0" fontId="0" fillId="0" borderId="8" xfId="0" applyFont="1" applyFill="1" applyBorder="1" applyAlignment="1">
      <alignment horizontal="left" vertical="center"/>
    </xf>
    <xf numFmtId="0" fontId="0" fillId="6" borderId="24" xfId="0" applyFont="1" applyFill="1" applyBorder="1" applyAlignment="1">
      <alignment horizontal="left" vertical="center"/>
    </xf>
    <xf numFmtId="0" fontId="0" fillId="0" borderId="24" xfId="0" applyBorder="1" applyAlignment="1">
      <alignment horizontal="left" vertical="center"/>
    </xf>
    <xf numFmtId="0" fontId="0" fillId="0" borderId="24" xfId="0" applyBorder="1" applyAlignment="1">
      <alignment horizontal="left" vertical="center" wrapText="1"/>
    </xf>
    <xf numFmtId="0" fontId="0" fillId="0" borderId="8" xfId="0" applyNumberFormat="1" applyBorder="1" applyAlignment="1">
      <alignment horizontal="left" vertical="center"/>
    </xf>
    <xf numFmtId="0" fontId="0" fillId="0" borderId="8" xfId="0" applyNumberFormat="1" applyFill="1" applyBorder="1" applyAlignment="1">
      <alignment horizontal="left" vertical="center"/>
    </xf>
    <xf numFmtId="0" fontId="0" fillId="6" borderId="8" xfId="0" applyFont="1" applyFill="1" applyBorder="1" applyAlignment="1">
      <alignment horizontal="center" vertical="center" wrapText="1"/>
    </xf>
    <xf numFmtId="0" fontId="3" fillId="0" borderId="8" xfId="5" applyFont="1" applyBorder="1" applyAlignment="1">
      <alignment horizontal="center" vertical="center" wrapText="1"/>
    </xf>
    <xf numFmtId="0" fontId="3" fillId="0" borderId="8" xfId="5" applyFont="1" applyFill="1" applyBorder="1" applyAlignment="1">
      <alignment horizontal="center" vertical="center" wrapText="1"/>
    </xf>
    <xf numFmtId="1" fontId="3" fillId="0" borderId="8" xfId="5" applyNumberFormat="1" applyFont="1" applyFill="1" applyBorder="1" applyAlignment="1">
      <alignment horizontal="center" vertical="center" wrapText="1"/>
    </xf>
    <xf numFmtId="0" fontId="20" fillId="0" borderId="8" xfId="0" applyFont="1" applyBorder="1" applyAlignment="1">
      <alignment horizontal="center" vertical="center" wrapText="1"/>
    </xf>
    <xf numFmtId="165" fontId="0" fillId="6" borderId="8" xfId="0" applyNumberFormat="1"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0" borderId="8" xfId="0" applyBorder="1" applyAlignment="1">
      <alignment vertical="center" wrapText="1"/>
    </xf>
    <xf numFmtId="0" fontId="9" fillId="0" borderId="8" xfId="0" applyFont="1" applyBorder="1" applyAlignment="1">
      <alignment horizontal="left" vertical="center" wrapText="1"/>
    </xf>
    <xf numFmtId="0" fontId="0" fillId="0" borderId="8" xfId="0" applyBorder="1" applyAlignment="1">
      <alignment horizontal="left" vertical="top" wrapText="1"/>
    </xf>
    <xf numFmtId="0" fontId="0" fillId="0" borderId="0" xfId="0" applyFont="1" applyAlignment="1">
      <alignment horizontal="left" vertical="top"/>
    </xf>
    <xf numFmtId="0" fontId="12" fillId="0" borderId="8" xfId="12" applyFont="1" applyBorder="1" applyAlignment="1">
      <alignment horizontal="left" vertical="top" wrapText="1"/>
    </xf>
    <xf numFmtId="0" fontId="0" fillId="0" borderId="8" xfId="0" applyFont="1" applyBorder="1" applyAlignment="1">
      <alignment horizontal="left" vertical="top"/>
    </xf>
    <xf numFmtId="0" fontId="5" fillId="7" borderId="7" xfId="0" applyFont="1" applyFill="1" applyBorder="1" applyAlignment="1">
      <alignment horizontal="left" vertical="top" wrapText="1"/>
    </xf>
    <xf numFmtId="0" fontId="9" fillId="0" borderId="8" xfId="0" applyFont="1" applyBorder="1" applyAlignment="1">
      <alignment horizontal="left" vertical="top" wrapText="1"/>
    </xf>
    <xf numFmtId="0" fontId="0" fillId="0" borderId="8" xfId="0" applyBorder="1" applyAlignment="1">
      <alignment horizontal="center"/>
    </xf>
    <xf numFmtId="1" fontId="0" fillId="0" borderId="8" xfId="0" applyNumberFormat="1" applyBorder="1" applyAlignment="1">
      <alignment horizontal="center"/>
    </xf>
    <xf numFmtId="165" fontId="4" fillId="5" borderId="8" xfId="0" applyNumberFormat="1" applyFont="1" applyFill="1" applyBorder="1" applyAlignment="1">
      <alignment horizontal="center" vertical="center"/>
    </xf>
    <xf numFmtId="165" fontId="4" fillId="6" borderId="8" xfId="1" applyNumberFormat="1" applyFont="1" applyFill="1" applyBorder="1" applyAlignment="1">
      <alignment horizontal="center" vertical="center"/>
    </xf>
    <xf numFmtId="0" fontId="0" fillId="0" borderId="8" xfId="0" applyFont="1" applyBorder="1" applyAlignment="1">
      <alignment wrapText="1"/>
    </xf>
    <xf numFmtId="0" fontId="0" fillId="0" borderId="8" xfId="0" applyFont="1" applyFill="1" applyBorder="1" applyAlignment="1">
      <alignment horizontal="left" vertical="top"/>
    </xf>
    <xf numFmtId="0" fontId="0" fillId="0" borderId="0" xfId="0" applyFont="1" applyFill="1" applyAlignment="1"/>
    <xf numFmtId="0" fontId="0" fillId="0" borderId="8" xfId="0" applyFont="1" applyFill="1" applyBorder="1" applyAlignment="1">
      <alignment wrapText="1"/>
    </xf>
    <xf numFmtId="0" fontId="0" fillId="0" borderId="8" xfId="0" applyFont="1" applyBorder="1" applyAlignment="1">
      <alignment horizontal="center" wrapText="1"/>
    </xf>
    <xf numFmtId="0" fontId="0" fillId="0" borderId="8" xfId="0" applyFont="1" applyFill="1" applyBorder="1" applyAlignment="1">
      <alignment horizontal="center" wrapText="1"/>
    </xf>
    <xf numFmtId="165" fontId="0" fillId="5" borderId="8" xfId="0" applyNumberFormat="1" applyFont="1" applyFill="1" applyBorder="1" applyAlignment="1"/>
    <xf numFmtId="165" fontId="0" fillId="10" borderId="8" xfId="0" applyNumberFormat="1" applyFont="1" applyFill="1" applyBorder="1" applyAlignment="1"/>
    <xf numFmtId="165" fontId="0" fillId="6" borderId="8" xfId="0" applyNumberFormat="1" applyFont="1" applyFill="1" applyBorder="1" applyAlignment="1"/>
    <xf numFmtId="0" fontId="9" fillId="12" borderId="8" xfId="0" applyFont="1" applyFill="1" applyBorder="1" applyAlignment="1">
      <alignment horizontal="left" vertical="center" wrapText="1"/>
    </xf>
    <xf numFmtId="0" fontId="4" fillId="0" borderId="8" xfId="0" applyFont="1" applyBorder="1" applyAlignment="1">
      <alignment horizontal="center" vertical="center" wrapText="1"/>
    </xf>
    <xf numFmtId="0" fontId="0" fillId="0" borderId="8" xfId="0" applyFont="1" applyBorder="1" applyAlignment="1">
      <alignment horizontal="left" vertical="center"/>
    </xf>
    <xf numFmtId="0" fontId="0" fillId="0" borderId="24" xfId="0" applyFont="1" applyBorder="1" applyAlignment="1">
      <alignment horizontal="left" vertical="center"/>
    </xf>
    <xf numFmtId="0" fontId="0" fillId="0" borderId="8" xfId="0" applyFont="1" applyFill="1" applyBorder="1" applyAlignment="1">
      <alignment horizontal="left" vertical="center"/>
    </xf>
    <xf numFmtId="0" fontId="0" fillId="0" borderId="24" xfId="0" applyFont="1" applyFill="1" applyBorder="1" applyAlignment="1">
      <alignment horizontal="left" vertical="center"/>
    </xf>
    <xf numFmtId="0" fontId="0" fillId="0" borderId="24" xfId="0" applyFill="1" applyBorder="1" applyAlignment="1">
      <alignment horizontal="left" vertical="center"/>
    </xf>
    <xf numFmtId="0" fontId="0" fillId="0" borderId="24" xfId="0" applyBorder="1" applyAlignment="1">
      <alignment horizontal="left" vertical="center"/>
    </xf>
    <xf numFmtId="0" fontId="0" fillId="0" borderId="24" xfId="0" applyBorder="1" applyAlignment="1">
      <alignment horizontal="left" vertical="center" wrapText="1"/>
    </xf>
    <xf numFmtId="0" fontId="0" fillId="0" borderId="8" xfId="0" applyBorder="1" applyAlignment="1">
      <alignment horizontal="left" vertical="center"/>
    </xf>
    <xf numFmtId="165" fontId="0" fillId="5" borderId="8" xfId="0" applyNumberFormat="1" applyFont="1" applyFill="1" applyBorder="1" applyAlignment="1">
      <alignment horizontal="center" vertical="center"/>
    </xf>
    <xf numFmtId="0" fontId="0" fillId="0" borderId="8" xfId="0" applyFont="1" applyBorder="1" applyAlignment="1">
      <alignment horizontal="center" vertical="center" wrapText="1"/>
    </xf>
    <xf numFmtId="1" fontId="0" fillId="6" borderId="8" xfId="0" applyNumberFormat="1" applyFont="1" applyFill="1" applyBorder="1" applyAlignment="1">
      <alignment horizontal="center" vertical="center"/>
    </xf>
    <xf numFmtId="0" fontId="4" fillId="0" borderId="8" xfId="0" applyFont="1" applyBorder="1" applyAlignment="1">
      <alignment horizontal="center" vertical="center" wrapText="1"/>
    </xf>
    <xf numFmtId="0" fontId="0" fillId="0" borderId="8" xfId="0" applyFont="1" applyBorder="1" applyAlignment="1">
      <alignment horizontal="center" vertical="center"/>
    </xf>
    <xf numFmtId="0" fontId="0" fillId="0" borderId="8" xfId="0" applyFont="1" applyBorder="1" applyAlignment="1">
      <alignment horizontal="center" wrapText="1"/>
    </xf>
    <xf numFmtId="0" fontId="0" fillId="0" borderId="8" xfId="0" applyBorder="1" applyAlignment="1">
      <alignment vertical="center"/>
    </xf>
    <xf numFmtId="165" fontId="0" fillId="5" borderId="8" xfId="0" applyNumberFormat="1" applyFont="1" applyFill="1" applyBorder="1" applyAlignment="1">
      <alignment horizontal="left" vertical="center"/>
    </xf>
    <xf numFmtId="1" fontId="0" fillId="6" borderId="8" xfId="0" applyNumberFormat="1" applyFont="1" applyFill="1" applyBorder="1" applyAlignment="1">
      <alignment horizontal="left" vertical="center"/>
    </xf>
    <xf numFmtId="1" fontId="0" fillId="6" borderId="8" xfId="0" applyNumberFormat="1" applyFont="1" applyFill="1" applyBorder="1" applyAlignment="1">
      <alignment vertical="center"/>
    </xf>
    <xf numFmtId="0" fontId="0" fillId="5" borderId="24" xfId="0" applyFont="1" applyFill="1" applyBorder="1" applyAlignment="1">
      <alignment horizontal="center" vertical="center"/>
    </xf>
    <xf numFmtId="1" fontId="0" fillId="5" borderId="24" xfId="0" applyNumberFormat="1" applyFont="1" applyFill="1" applyBorder="1" applyAlignment="1">
      <alignment horizontal="center" vertical="center"/>
    </xf>
    <xf numFmtId="1" fontId="0" fillId="5" borderId="8" xfId="0" applyNumberFormat="1" applyFont="1" applyFill="1" applyBorder="1" applyAlignment="1">
      <alignment horizontal="center" vertical="center"/>
    </xf>
    <xf numFmtId="1" fontId="4" fillId="5" borderId="8" xfId="0" applyNumberFormat="1" applyFont="1" applyFill="1" applyBorder="1" applyAlignment="1">
      <alignment horizontal="center" vertical="center"/>
    </xf>
    <xf numFmtId="1" fontId="4" fillId="6" borderId="8" xfId="1" applyNumberFormat="1" applyFont="1" applyFill="1" applyBorder="1" applyAlignment="1">
      <alignment horizontal="center" vertical="center"/>
    </xf>
    <xf numFmtId="165" fontId="4" fillId="10" borderId="8" xfId="1" applyNumberFormat="1" applyFont="1" applyFill="1" applyBorder="1" applyAlignment="1">
      <alignment horizontal="center" vertical="center"/>
    </xf>
    <xf numFmtId="1" fontId="4" fillId="10" borderId="8" xfId="1" applyNumberFormat="1" applyFont="1" applyFill="1" applyBorder="1" applyAlignment="1">
      <alignment horizontal="center" vertical="center"/>
    </xf>
    <xf numFmtId="1" fontId="0" fillId="10" borderId="8" xfId="0" applyNumberFormat="1" applyFont="1" applyFill="1" applyBorder="1" applyAlignment="1">
      <alignment horizontal="center" vertical="center"/>
    </xf>
    <xf numFmtId="0" fontId="0" fillId="0" borderId="7" xfId="0" applyFont="1" applyFill="1" applyBorder="1" applyAlignment="1">
      <alignment wrapText="1"/>
    </xf>
    <xf numFmtId="0" fontId="0" fillId="0" borderId="8" xfId="0" applyBorder="1" applyAlignment="1">
      <alignment horizontal="left" vertical="center"/>
    </xf>
    <xf numFmtId="1" fontId="0" fillId="10" borderId="25" xfId="0" applyNumberFormat="1" applyFont="1" applyFill="1" applyBorder="1" applyAlignment="1">
      <alignment horizontal="center" vertical="center"/>
    </xf>
    <xf numFmtId="0" fontId="0" fillId="0" borderId="8" xfId="0" applyFont="1" applyBorder="1" applyAlignment="1">
      <alignment horizontal="left" vertical="center"/>
    </xf>
    <xf numFmtId="0" fontId="0" fillId="0" borderId="8" xfId="0" applyBorder="1" applyAlignment="1">
      <alignment horizontal="left" vertical="center" wrapText="1"/>
    </xf>
    <xf numFmtId="0" fontId="21" fillId="0" borderId="8" xfId="0" applyFont="1" applyBorder="1" applyAlignment="1">
      <alignment vertical="center"/>
    </xf>
    <xf numFmtId="9" fontId="9" fillId="18" borderId="8" xfId="2" applyFont="1" applyFill="1" applyBorder="1" applyAlignment="1">
      <alignment vertical="center"/>
    </xf>
    <xf numFmtId="1" fontId="9" fillId="18" borderId="8" xfId="28" applyNumberFormat="1" applyFont="1" applyFill="1" applyBorder="1" applyAlignment="1">
      <alignment vertical="center"/>
    </xf>
    <xf numFmtId="1" fontId="0" fillId="5" borderId="8" xfId="0" applyNumberFormat="1" applyFont="1" applyFill="1" applyBorder="1" applyAlignment="1">
      <alignment horizontal="left" vertical="center"/>
    </xf>
    <xf numFmtId="0" fontId="0" fillId="5" borderId="8" xfId="0" applyFont="1" applyFill="1" applyBorder="1" applyAlignment="1">
      <alignment horizontal="left" vertical="center"/>
    </xf>
    <xf numFmtId="1" fontId="0" fillId="6" borderId="24" xfId="0" applyNumberFormat="1" applyFont="1" applyFill="1" applyBorder="1" applyAlignment="1">
      <alignment horizontal="left" vertical="center"/>
    </xf>
    <xf numFmtId="0" fontId="0" fillId="10" borderId="8" xfId="0" applyFont="1" applyFill="1" applyBorder="1" applyAlignment="1">
      <alignment horizontal="left" vertical="center"/>
    </xf>
    <xf numFmtId="0" fontId="5" fillId="0" borderId="8" xfId="0" applyFont="1" applyBorder="1" applyAlignment="1">
      <alignment horizontal="left" vertical="top" wrapText="1"/>
    </xf>
    <xf numFmtId="0" fontId="0" fillId="19" borderId="7" xfId="0" applyFill="1" applyBorder="1" applyAlignment="1">
      <alignment horizontal="left" vertical="center"/>
    </xf>
    <xf numFmtId="0" fontId="9" fillId="19" borderId="7" xfId="0" applyFont="1" applyFill="1" applyBorder="1" applyAlignment="1">
      <alignment horizontal="left" vertical="center" wrapText="1"/>
    </xf>
    <xf numFmtId="0" fontId="0" fillId="19" borderId="7" xfId="0" applyFont="1" applyFill="1" applyBorder="1" applyAlignment="1">
      <alignment horizontal="left" vertical="center"/>
    </xf>
    <xf numFmtId="0" fontId="0" fillId="19" borderId="7" xfId="0" applyFont="1" applyFill="1" applyBorder="1" applyAlignment="1">
      <alignment horizontal="center" vertical="center"/>
    </xf>
    <xf numFmtId="1" fontId="0" fillId="19" borderId="7" xfId="0" applyNumberFormat="1" applyFont="1" applyFill="1" applyBorder="1" applyAlignment="1">
      <alignment horizontal="center" vertical="center"/>
    </xf>
    <xf numFmtId="0" fontId="0" fillId="19" borderId="7" xfId="0" applyFill="1" applyBorder="1" applyAlignment="1">
      <alignment wrapText="1"/>
    </xf>
    <xf numFmtId="0" fontId="0" fillId="19" borderId="0" xfId="0" applyFont="1" applyFill="1" applyAlignment="1"/>
    <xf numFmtId="0" fontId="25" fillId="19" borderId="0" xfId="0" applyFont="1" applyFill="1" applyAlignment="1">
      <alignment horizontal="left" wrapText="1"/>
    </xf>
    <xf numFmtId="9" fontId="9" fillId="6" borderId="8" xfId="2" applyFont="1" applyFill="1" applyBorder="1" applyAlignment="1">
      <alignment vertical="center"/>
    </xf>
    <xf numFmtId="0" fontId="0" fillId="0" borderId="8" xfId="0" applyFill="1" applyBorder="1" applyAlignment="1">
      <alignment vertical="center"/>
    </xf>
    <xf numFmtId="0" fontId="0" fillId="0" borderId="8" xfId="0" applyFill="1" applyBorder="1" applyAlignment="1">
      <alignment horizontal="left" wrapText="1"/>
    </xf>
    <xf numFmtId="0" fontId="26" fillId="0" borderId="8" xfId="0" applyFont="1" applyFill="1" applyBorder="1" applyAlignment="1">
      <alignment horizontal="left" vertical="center" wrapText="1"/>
    </xf>
    <xf numFmtId="0" fontId="12" fillId="0" borderId="8" xfId="14" applyFont="1" applyBorder="1" applyAlignment="1">
      <alignment vertical="center" wrapText="1"/>
    </xf>
    <xf numFmtId="0" fontId="12" fillId="0" borderId="8" xfId="14" applyFont="1" applyFill="1" applyBorder="1" applyAlignment="1">
      <alignment vertical="center" wrapText="1"/>
    </xf>
    <xf numFmtId="0" fontId="0" fillId="6" borderId="8" xfId="0" applyNumberFormat="1" applyFill="1" applyBorder="1" applyAlignment="1">
      <alignment vertical="center"/>
    </xf>
    <xf numFmtId="165" fontId="0" fillId="6" borderId="8" xfId="0" applyNumberFormat="1" applyFill="1" applyBorder="1" applyAlignment="1">
      <alignment vertical="center"/>
    </xf>
    <xf numFmtId="1" fontId="9" fillId="18" borderId="8" xfId="2" applyNumberFormat="1" applyFont="1" applyFill="1" applyBorder="1" applyAlignment="1">
      <alignment vertical="center"/>
    </xf>
    <xf numFmtId="0" fontId="9" fillId="6" borderId="8" xfId="0" applyNumberFormat="1" applyFont="1" applyFill="1" applyBorder="1" applyAlignment="1">
      <alignment vertical="center"/>
    </xf>
    <xf numFmtId="1" fontId="0" fillId="6" borderId="8" xfId="0" applyNumberFormat="1" applyFill="1" applyBorder="1" applyAlignment="1">
      <alignment vertical="center"/>
    </xf>
    <xf numFmtId="0" fontId="27" fillId="0" borderId="8" xfId="0" applyFont="1" applyBorder="1" applyAlignment="1">
      <alignment horizontal="left" vertical="top" wrapText="1"/>
    </xf>
    <xf numFmtId="0" fontId="28" fillId="7" borderId="8" xfId="0" applyFont="1" applyFill="1" applyBorder="1" applyAlignment="1">
      <alignment horizontal="left" vertical="top" wrapText="1"/>
    </xf>
    <xf numFmtId="0" fontId="27" fillId="0" borderId="8" xfId="0" applyFont="1" applyFill="1" applyBorder="1" applyAlignment="1">
      <alignment horizontal="left" vertical="top" wrapText="1"/>
    </xf>
    <xf numFmtId="0" fontId="27" fillId="5" borderId="8" xfId="0" applyFont="1" applyFill="1" applyBorder="1" applyAlignment="1">
      <alignment horizontal="left" vertical="top" wrapText="1"/>
    </xf>
    <xf numFmtId="0" fontId="27" fillId="10" borderId="8" xfId="0" applyFont="1" applyFill="1" applyBorder="1" applyAlignment="1">
      <alignment horizontal="left" vertical="top" wrapText="1"/>
    </xf>
    <xf numFmtId="0" fontId="27" fillId="6" borderId="8" xfId="0" applyFont="1" applyFill="1" applyBorder="1" applyAlignment="1">
      <alignment horizontal="left" vertical="top" wrapText="1"/>
    </xf>
    <xf numFmtId="0" fontId="28" fillId="0" borderId="8" xfId="0" applyFont="1" applyBorder="1" applyAlignment="1">
      <alignment horizontal="left" vertical="top" wrapText="1"/>
    </xf>
    <xf numFmtId="0" fontId="28" fillId="8" borderId="8" xfId="0" applyFont="1" applyFill="1" applyBorder="1" applyAlignment="1">
      <alignment horizontal="left" vertical="top" wrapText="1"/>
    </xf>
    <xf numFmtId="1" fontId="28" fillId="8" borderId="8" xfId="0" applyNumberFormat="1" applyFont="1" applyFill="1" applyBorder="1" applyAlignment="1">
      <alignment horizontal="left" vertical="top" wrapText="1"/>
    </xf>
    <xf numFmtId="0" fontId="28" fillId="9" borderId="8" xfId="0" applyFont="1" applyFill="1" applyBorder="1" applyAlignment="1">
      <alignment horizontal="left" vertical="top" wrapText="1"/>
    </xf>
    <xf numFmtId="1" fontId="28" fillId="0" borderId="8" xfId="0" applyNumberFormat="1" applyFont="1" applyBorder="1" applyAlignment="1">
      <alignment horizontal="left" vertical="top" wrapText="1"/>
    </xf>
    <xf numFmtId="1" fontId="27" fillId="0" borderId="8" xfId="0" applyNumberFormat="1" applyFont="1" applyBorder="1" applyAlignment="1">
      <alignment horizontal="left" vertical="top" wrapText="1"/>
    </xf>
    <xf numFmtId="1" fontId="27" fillId="0" borderId="8" xfId="2" applyNumberFormat="1" applyFont="1" applyBorder="1" applyAlignment="1">
      <alignment horizontal="left" vertical="top" wrapText="1"/>
    </xf>
    <xf numFmtId="0" fontId="27" fillId="0" borderId="0" xfId="0" applyFont="1" applyAlignment="1">
      <alignment horizontal="left" vertical="top" wrapText="1"/>
    </xf>
    <xf numFmtId="0" fontId="31" fillId="0" borderId="8" xfId="0" applyFont="1" applyBorder="1" applyAlignment="1">
      <alignment horizontal="left" vertical="top" wrapText="1"/>
    </xf>
    <xf numFmtId="0" fontId="28" fillId="0" borderId="8" xfId="0" applyFont="1" applyBorder="1" applyAlignment="1">
      <alignment vertical="top" wrapText="1"/>
    </xf>
    <xf numFmtId="0" fontId="27" fillId="11" borderId="8" xfId="0" applyFont="1" applyFill="1" applyBorder="1" applyAlignment="1">
      <alignment vertical="top" wrapText="1"/>
    </xf>
    <xf numFmtId="0" fontId="28" fillId="7" borderId="8" xfId="0" applyFont="1" applyFill="1" applyBorder="1" applyAlignment="1">
      <alignment vertical="top" wrapText="1"/>
    </xf>
    <xf numFmtId="1" fontId="27" fillId="5" borderId="8" xfId="0" applyNumberFormat="1" applyFont="1" applyFill="1" applyBorder="1" applyAlignment="1">
      <alignment horizontal="left" vertical="top" wrapText="1"/>
    </xf>
    <xf numFmtId="1" fontId="27" fillId="6" borderId="8" xfId="0" applyNumberFormat="1" applyFont="1" applyFill="1" applyBorder="1" applyAlignment="1">
      <alignment horizontal="left" vertical="top" wrapText="1"/>
    </xf>
    <xf numFmtId="1" fontId="31" fillId="6" borderId="8" xfId="0" applyNumberFormat="1" applyFont="1" applyFill="1" applyBorder="1" applyAlignment="1">
      <alignment horizontal="left" vertical="top" wrapText="1"/>
    </xf>
    <xf numFmtId="1" fontId="27" fillId="10" borderId="8" xfId="0" applyNumberFormat="1" applyFont="1" applyFill="1" applyBorder="1" applyAlignment="1">
      <alignment horizontal="left" vertical="top" wrapText="1"/>
    </xf>
    <xf numFmtId="1" fontId="30" fillId="0" borderId="8" xfId="2" applyNumberFormat="1" applyFont="1" applyBorder="1" applyAlignment="1">
      <alignment horizontal="left" vertical="top" wrapText="1"/>
    </xf>
    <xf numFmtId="9" fontId="30" fillId="0" borderId="8" xfId="2" applyFont="1" applyBorder="1" applyAlignment="1">
      <alignment horizontal="left" vertical="top" wrapText="1"/>
    </xf>
    <xf numFmtId="1" fontId="27" fillId="0" borderId="0" xfId="0" applyNumberFormat="1" applyFont="1" applyAlignment="1">
      <alignment horizontal="left" vertical="top" wrapText="1"/>
    </xf>
    <xf numFmtId="0" fontId="30" fillId="0" borderId="8" xfId="2" applyNumberFormat="1" applyFont="1" applyBorder="1" applyAlignment="1">
      <alignment horizontal="left" vertical="top" wrapText="1"/>
    </xf>
    <xf numFmtId="165" fontId="27" fillId="5" borderId="8" xfId="0" applyNumberFormat="1" applyFont="1" applyFill="1" applyBorder="1" applyAlignment="1">
      <alignment horizontal="left" vertical="top" wrapText="1"/>
    </xf>
    <xf numFmtId="1" fontId="31" fillId="5" borderId="8" xfId="0" applyNumberFormat="1" applyFont="1" applyFill="1" applyBorder="1" applyAlignment="1">
      <alignment horizontal="left" vertical="top" wrapText="1"/>
    </xf>
    <xf numFmtId="1" fontId="31" fillId="10" borderId="8" xfId="0" applyNumberFormat="1" applyFont="1" applyFill="1" applyBorder="1" applyAlignment="1">
      <alignment horizontal="left" vertical="top" wrapText="1"/>
    </xf>
    <xf numFmtId="0" fontId="27" fillId="0" borderId="7" xfId="0" applyFont="1" applyBorder="1" applyAlignment="1">
      <alignment horizontal="left" vertical="top" wrapText="1"/>
    </xf>
    <xf numFmtId="1" fontId="27" fillId="0" borderId="7" xfId="2" applyNumberFormat="1" applyFont="1" applyBorder="1" applyAlignment="1">
      <alignment horizontal="left" vertical="top" wrapText="1"/>
    </xf>
    <xf numFmtId="1" fontId="27" fillId="0" borderId="7" xfId="0" applyNumberFormat="1" applyFont="1" applyBorder="1" applyAlignment="1">
      <alignment horizontal="left" vertical="top" wrapText="1"/>
    </xf>
    <xf numFmtId="0" fontId="27" fillId="19" borderId="0" xfId="0" applyFont="1" applyFill="1" applyAlignment="1">
      <alignment horizontal="left" vertical="top" wrapText="1"/>
    </xf>
    <xf numFmtId="0" fontId="0" fillId="0" borderId="8" xfId="0" applyBorder="1" applyAlignment="1">
      <alignment horizontal="left" vertical="top"/>
    </xf>
    <xf numFmtId="1" fontId="0" fillId="0" borderId="8" xfId="0" applyNumberFormat="1" applyBorder="1" applyAlignment="1">
      <alignment horizontal="left" vertical="top"/>
    </xf>
    <xf numFmtId="9" fontId="0" fillId="6" borderId="8" xfId="2" applyFont="1" applyFill="1" applyBorder="1" applyAlignment="1">
      <alignment horizontal="left" vertical="top"/>
    </xf>
    <xf numFmtId="9" fontId="9" fillId="6" borderId="8" xfId="2" applyFont="1" applyFill="1" applyBorder="1" applyAlignment="1">
      <alignment horizontal="center" vertical="center"/>
    </xf>
    <xf numFmtId="1" fontId="0" fillId="0" borderId="8" xfId="0" applyNumberFormat="1" applyBorder="1" applyAlignment="1">
      <alignment horizontal="center" vertical="center"/>
    </xf>
    <xf numFmtId="9" fontId="0" fillId="5" borderId="8" xfId="0" applyNumberFormat="1" applyFill="1" applyBorder="1" applyAlignment="1">
      <alignment vertical="center"/>
    </xf>
    <xf numFmtId="0" fontId="18" fillId="0" borderId="8" xfId="0" applyFont="1" applyFill="1" applyBorder="1" applyAlignment="1">
      <alignment horizontal="center" vertical="center"/>
    </xf>
    <xf numFmtId="0" fontId="18" fillId="0" borderId="8" xfId="0" applyFont="1" applyFill="1" applyBorder="1" applyAlignment="1">
      <alignment horizontal="left" vertical="center" wrapText="1"/>
    </xf>
    <xf numFmtId="0" fontId="13" fillId="0" borderId="8" xfId="14" applyFont="1" applyFill="1" applyBorder="1" applyAlignment="1">
      <alignment vertical="center" wrapText="1"/>
    </xf>
    <xf numFmtId="1" fontId="18" fillId="0" borderId="8" xfId="0" applyNumberFormat="1" applyFont="1" applyFill="1" applyBorder="1" applyAlignment="1">
      <alignment horizontal="center" vertical="center"/>
    </xf>
    <xf numFmtId="1" fontId="15" fillId="0" borderId="8" xfId="2" applyNumberFormat="1" applyFont="1" applyFill="1" applyBorder="1" applyAlignment="1">
      <alignment horizontal="center" vertical="center"/>
    </xf>
    <xf numFmtId="0" fontId="18" fillId="0" borderId="8" xfId="0" applyFont="1" applyFill="1" applyBorder="1" applyAlignment="1">
      <alignment vertical="center"/>
    </xf>
    <xf numFmtId="1" fontId="0" fillId="0" borderId="8" xfId="0" applyNumberFormat="1" applyFill="1" applyBorder="1" applyAlignment="1">
      <alignment horizontal="center" vertical="center"/>
    </xf>
    <xf numFmtId="0" fontId="0" fillId="0" borderId="8" xfId="0" applyFill="1" applyBorder="1" applyAlignment="1">
      <alignment horizontal="left" vertical="top" wrapText="1"/>
    </xf>
    <xf numFmtId="0" fontId="0" fillId="0" borderId="8" xfId="0" applyFill="1" applyBorder="1" applyAlignment="1">
      <alignment horizontal="left" vertical="top"/>
    </xf>
    <xf numFmtId="1" fontId="0" fillId="0" borderId="8" xfId="0" applyNumberFormat="1" applyFill="1" applyBorder="1" applyAlignment="1">
      <alignment horizontal="left" vertical="top" wrapText="1"/>
    </xf>
    <xf numFmtId="1" fontId="0" fillId="0" borderId="8" xfId="0" applyNumberFormat="1" applyFill="1" applyBorder="1" applyAlignment="1">
      <alignment horizontal="left" vertical="top"/>
    </xf>
    <xf numFmtId="0" fontId="27" fillId="0" borderId="7" xfId="0" applyFont="1" applyFill="1" applyBorder="1" applyAlignment="1">
      <alignment horizontal="left" vertical="top" wrapText="1"/>
    </xf>
    <xf numFmtId="0" fontId="27" fillId="19" borderId="8" xfId="0" applyFont="1" applyFill="1" applyBorder="1" applyAlignment="1">
      <alignment horizontal="left" vertical="top" wrapText="1"/>
    </xf>
    <xf numFmtId="1" fontId="27" fillId="19" borderId="8" xfId="2" applyNumberFormat="1" applyFont="1" applyFill="1" applyBorder="1" applyAlignment="1">
      <alignment horizontal="left" vertical="top" wrapText="1"/>
    </xf>
    <xf numFmtId="1" fontId="27" fillId="19" borderId="8" xfId="0" applyNumberFormat="1" applyFont="1" applyFill="1" applyBorder="1" applyAlignment="1">
      <alignment horizontal="left" vertical="top" wrapText="1"/>
    </xf>
    <xf numFmtId="0" fontId="31" fillId="0" borderId="8" xfId="0" applyFont="1" applyFill="1" applyBorder="1" applyAlignment="1">
      <alignment horizontal="left" vertical="top" wrapText="1"/>
    </xf>
    <xf numFmtId="0" fontId="18" fillId="0" borderId="8" xfId="0" applyFont="1" applyFill="1" applyBorder="1" applyAlignment="1">
      <alignment vertical="center" wrapText="1"/>
    </xf>
    <xf numFmtId="1" fontId="9" fillId="0" borderId="8" xfId="2" applyNumberFormat="1" applyFont="1" applyBorder="1" applyAlignment="1">
      <alignment horizontal="center" wrapText="1"/>
    </xf>
    <xf numFmtId="9" fontId="0" fillId="6" borderId="8" xfId="0" applyNumberFormat="1" applyFill="1" applyBorder="1"/>
    <xf numFmtId="9" fontId="9" fillId="5" borderId="8" xfId="2" applyFont="1" applyFill="1" applyBorder="1" applyAlignment="1"/>
    <xf numFmtId="9" fontId="9" fillId="0" borderId="8" xfId="2" applyFont="1" applyBorder="1" applyAlignment="1"/>
    <xf numFmtId="0" fontId="0" fillId="0" borderId="8" xfId="0" applyFill="1" applyBorder="1" applyAlignment="1">
      <alignment vertical="center" wrapText="1"/>
    </xf>
    <xf numFmtId="0" fontId="0" fillId="0" borderId="8" xfId="0" applyFill="1" applyBorder="1"/>
    <xf numFmtId="9" fontId="18" fillId="10" borderId="8" xfId="2" applyFont="1" applyFill="1" applyBorder="1" applyAlignment="1">
      <alignment vertical="center"/>
    </xf>
    <xf numFmtId="1" fontId="0" fillId="10" borderId="8" xfId="0" applyNumberFormat="1" applyFont="1" applyFill="1" applyBorder="1" applyAlignment="1">
      <alignment vertical="center"/>
    </xf>
    <xf numFmtId="0" fontId="0" fillId="6" borderId="8" xfId="0" applyFont="1" applyFill="1" applyBorder="1" applyAlignment="1">
      <alignment vertical="center"/>
    </xf>
    <xf numFmtId="0" fontId="0" fillId="5" borderId="8" xfId="0" applyFont="1" applyFill="1" applyBorder="1" applyAlignment="1">
      <alignment vertical="center"/>
    </xf>
    <xf numFmtId="0" fontId="35" fillId="5" borderId="8" xfId="5" applyFont="1" applyFill="1" applyBorder="1" applyAlignment="1">
      <alignment horizontal="center" vertical="center" wrapText="1"/>
    </xf>
    <xf numFmtId="0" fontId="36" fillId="5" borderId="8" xfId="0" applyFont="1" applyFill="1" applyBorder="1" applyAlignment="1">
      <alignment vertical="center"/>
    </xf>
    <xf numFmtId="1" fontId="0" fillId="6" borderId="8" xfId="0" applyNumberFormat="1" applyFont="1" applyFill="1" applyBorder="1" applyAlignment="1">
      <alignment horizontal="center" vertical="center" wrapText="1"/>
    </xf>
    <xf numFmtId="0" fontId="5" fillId="7" borderId="8" xfId="0" applyFont="1" applyFill="1" applyBorder="1" applyAlignment="1">
      <alignment horizontal="left" vertical="top" wrapText="1"/>
    </xf>
    <xf numFmtId="0" fontId="5" fillId="8" borderId="8" xfId="0" applyFont="1" applyFill="1" applyBorder="1" applyAlignment="1">
      <alignment horizontal="left" vertical="top" wrapText="1"/>
    </xf>
    <xf numFmtId="0" fontId="5" fillId="9" borderId="8" xfId="0" applyFont="1" applyFill="1" applyBorder="1" applyAlignment="1">
      <alignment horizontal="left" vertical="top" wrapText="1"/>
    </xf>
    <xf numFmtId="1" fontId="5" fillId="0" borderId="8" xfId="0" applyNumberFormat="1" applyFont="1" applyBorder="1" applyAlignment="1">
      <alignment horizontal="left" vertical="top" wrapText="1"/>
    </xf>
    <xf numFmtId="0" fontId="11" fillId="12" borderId="8" xfId="0" applyFont="1" applyFill="1" applyBorder="1" applyAlignment="1">
      <alignment horizontal="left" vertical="top" wrapText="1"/>
    </xf>
    <xf numFmtId="1" fontId="0" fillId="5" borderId="8" xfId="0" applyNumberFormat="1" applyFont="1" applyFill="1" applyBorder="1" applyAlignment="1">
      <alignment horizontal="left" vertical="top"/>
    </xf>
    <xf numFmtId="0" fontId="0" fillId="5" borderId="8" xfId="0" applyFont="1" applyFill="1" applyBorder="1" applyAlignment="1">
      <alignment horizontal="left" vertical="top"/>
    </xf>
    <xf numFmtId="1" fontId="0" fillId="6" borderId="8" xfId="0" applyNumberFormat="1" applyFont="1" applyFill="1" applyBorder="1" applyAlignment="1">
      <alignment horizontal="left" vertical="top"/>
    </xf>
    <xf numFmtId="167" fontId="0" fillId="10" borderId="8" xfId="29" applyNumberFormat="1" applyFont="1" applyFill="1" applyBorder="1" applyAlignment="1">
      <alignment horizontal="left" vertical="top"/>
    </xf>
    <xf numFmtId="0" fontId="0" fillId="6" borderId="8" xfId="0" applyFont="1" applyFill="1" applyBorder="1" applyAlignment="1">
      <alignment horizontal="left" vertical="top"/>
    </xf>
    <xf numFmtId="165" fontId="0" fillId="6" borderId="8" xfId="0" applyNumberFormat="1" applyFont="1" applyFill="1" applyBorder="1" applyAlignment="1">
      <alignment horizontal="left" vertical="top"/>
    </xf>
    <xf numFmtId="0" fontId="0" fillId="0" borderId="28" xfId="0" applyBorder="1" applyAlignment="1">
      <alignment horizontal="left" vertical="top" wrapText="1"/>
    </xf>
    <xf numFmtId="0" fontId="12" fillId="12" borderId="25" xfId="0" applyFont="1" applyFill="1" applyBorder="1" applyAlignment="1">
      <alignment horizontal="left" vertical="top" wrapText="1"/>
    </xf>
    <xf numFmtId="0" fontId="17" fillId="0" borderId="31" xfId="0" applyFont="1" applyBorder="1" applyAlignment="1">
      <alignment horizontal="left" vertical="top"/>
    </xf>
    <xf numFmtId="0" fontId="12" fillId="12" borderId="8" xfId="0" applyFont="1" applyFill="1" applyBorder="1" applyAlignment="1">
      <alignment horizontal="left" vertical="top" wrapText="1"/>
    </xf>
    <xf numFmtId="0" fontId="17" fillId="0" borderId="1" xfId="0" applyFont="1" applyBorder="1" applyAlignment="1">
      <alignment horizontal="left" vertical="top"/>
    </xf>
    <xf numFmtId="165" fontId="0" fillId="5" borderId="8" xfId="0" applyNumberFormat="1" applyFont="1" applyFill="1" applyBorder="1" applyAlignment="1">
      <alignment horizontal="left" vertical="top"/>
    </xf>
    <xf numFmtId="0" fontId="0" fillId="12" borderId="8" xfId="0" applyFill="1" applyBorder="1" applyAlignment="1">
      <alignment horizontal="left" vertical="top" wrapText="1"/>
    </xf>
    <xf numFmtId="165" fontId="0" fillId="10" borderId="8" xfId="0" applyNumberFormat="1" applyFont="1" applyFill="1" applyBorder="1" applyAlignment="1">
      <alignment horizontal="left" vertical="top"/>
    </xf>
    <xf numFmtId="0" fontId="0" fillId="12" borderId="8" xfId="0" applyFont="1" applyFill="1" applyBorder="1" applyAlignment="1">
      <alignment horizontal="left" vertical="top" wrapText="1"/>
    </xf>
    <xf numFmtId="0" fontId="17" fillId="0" borderId="9" xfId="0" applyFont="1" applyBorder="1" applyAlignment="1">
      <alignment horizontal="left" vertical="top"/>
    </xf>
    <xf numFmtId="0" fontId="0" fillId="0" borderId="25" xfId="0" applyBorder="1" applyAlignment="1">
      <alignment horizontal="left" vertical="top" wrapText="1"/>
    </xf>
    <xf numFmtId="0" fontId="17" fillId="0" borderId="8" xfId="0" applyFont="1" applyBorder="1" applyAlignment="1">
      <alignment horizontal="left" vertical="top"/>
    </xf>
    <xf numFmtId="0" fontId="17" fillId="0" borderId="7" xfId="0" applyFont="1" applyBorder="1" applyAlignment="1">
      <alignment horizontal="left" vertical="top"/>
    </xf>
    <xf numFmtId="0" fontId="16" fillId="12" borderId="8" xfId="0" applyFont="1" applyFill="1" applyBorder="1" applyAlignment="1">
      <alignment horizontal="left" vertical="top" wrapText="1"/>
    </xf>
    <xf numFmtId="0" fontId="13" fillId="0" borderId="8" xfId="0" applyFont="1" applyFill="1" applyBorder="1" applyAlignment="1">
      <alignment horizontal="left" vertical="top" wrapText="1"/>
    </xf>
    <xf numFmtId="0" fontId="11" fillId="0" borderId="8" xfId="0" applyFont="1" applyFill="1" applyBorder="1" applyAlignment="1">
      <alignment horizontal="left" vertical="top" wrapText="1"/>
    </xf>
    <xf numFmtId="0" fontId="11" fillId="13" borderId="8" xfId="0" applyFont="1" applyFill="1" applyBorder="1" applyAlignment="1">
      <alignment horizontal="left" vertical="top" wrapText="1"/>
    </xf>
    <xf numFmtId="0" fontId="13" fillId="13" borderId="8" xfId="0" applyFont="1" applyFill="1" applyBorder="1" applyAlignment="1">
      <alignment horizontal="left" vertical="top" wrapText="1"/>
    </xf>
    <xf numFmtId="0" fontId="11" fillId="14" borderId="8" xfId="0" applyFont="1" applyFill="1" applyBorder="1" applyAlignment="1">
      <alignment horizontal="left" vertical="top" wrapText="1"/>
    </xf>
    <xf numFmtId="0" fontId="0" fillId="12" borderId="8" xfId="0" applyFill="1" applyBorder="1" applyAlignment="1" applyProtection="1">
      <alignment horizontal="left" vertical="top" wrapText="1"/>
      <protection locked="0"/>
    </xf>
    <xf numFmtId="0" fontId="0" fillId="0" borderId="7" xfId="0" applyBorder="1" applyAlignment="1">
      <alignment horizontal="left" vertical="top"/>
    </xf>
    <xf numFmtId="0" fontId="4" fillId="0" borderId="8" xfId="0" applyFont="1" applyBorder="1" applyAlignment="1">
      <alignment horizontal="left" vertical="top" wrapText="1"/>
    </xf>
    <xf numFmtId="0" fontId="4" fillId="0" borderId="0" xfId="0" applyFont="1" applyAlignment="1">
      <alignment horizontal="left" vertical="top" wrapText="1"/>
    </xf>
    <xf numFmtId="0" fontId="8" fillId="0" borderId="8" xfId="0" applyFont="1" applyBorder="1" applyAlignment="1">
      <alignment horizontal="left" vertical="top" wrapText="1"/>
    </xf>
    <xf numFmtId="0" fontId="4" fillId="5" borderId="8" xfId="0" applyFont="1" applyFill="1" applyBorder="1" applyAlignment="1">
      <alignment horizontal="left" vertical="top" wrapText="1"/>
    </xf>
    <xf numFmtId="0" fontId="4" fillId="0" borderId="0" xfId="0" applyFont="1" applyAlignment="1">
      <alignment horizontal="left" vertical="top"/>
    </xf>
    <xf numFmtId="0" fontId="4" fillId="5" borderId="8" xfId="0" applyFont="1" applyFill="1" applyBorder="1" applyAlignment="1">
      <alignment horizontal="left" vertical="top"/>
    </xf>
    <xf numFmtId="165" fontId="4" fillId="5" borderId="8" xfId="0" applyNumberFormat="1" applyFont="1" applyFill="1" applyBorder="1" applyAlignment="1">
      <alignment horizontal="left" vertical="top"/>
    </xf>
    <xf numFmtId="0" fontId="4" fillId="10" borderId="8" xfId="0" applyFont="1" applyFill="1" applyBorder="1" applyAlignment="1">
      <alignment horizontal="left" vertical="top" wrapText="1"/>
    </xf>
    <xf numFmtId="165" fontId="4" fillId="6" borderId="8" xfId="1" applyNumberFormat="1" applyFont="1" applyFill="1" applyBorder="1" applyAlignment="1">
      <alignment horizontal="left" vertical="top"/>
    </xf>
    <xf numFmtId="0" fontId="4" fillId="6" borderId="8" xfId="0" applyFont="1" applyFill="1" applyBorder="1" applyAlignment="1">
      <alignment horizontal="left" vertical="top" wrapText="1"/>
    </xf>
    <xf numFmtId="0" fontId="4" fillId="6" borderId="8" xfId="0" applyFont="1" applyFill="1" applyBorder="1" applyAlignment="1">
      <alignment horizontal="left" vertical="top"/>
    </xf>
    <xf numFmtId="0" fontId="0" fillId="10" borderId="8" xfId="0" applyFont="1" applyFill="1" applyBorder="1" applyAlignment="1">
      <alignment horizontal="left" vertical="top"/>
    </xf>
    <xf numFmtId="1" fontId="0" fillId="10" borderId="8" xfId="0" applyNumberFormat="1" applyFont="1" applyFill="1" applyBorder="1" applyAlignment="1">
      <alignment horizontal="left" vertical="top"/>
    </xf>
    <xf numFmtId="0" fontId="18" fillId="6" borderId="8" xfId="0" applyFont="1" applyFill="1" applyBorder="1" applyAlignment="1">
      <alignment horizontal="left" vertical="top"/>
    </xf>
    <xf numFmtId="1" fontId="18" fillId="6" borderId="8" xfId="0" applyNumberFormat="1" applyFont="1" applyFill="1" applyBorder="1" applyAlignment="1">
      <alignment horizontal="left" vertical="top"/>
    </xf>
    <xf numFmtId="0" fontId="18" fillId="10" borderId="8" xfId="0" applyFont="1" applyFill="1" applyBorder="1" applyAlignment="1">
      <alignment horizontal="left" vertical="top"/>
    </xf>
    <xf numFmtId="1" fontId="18" fillId="5" borderId="8" xfId="0" applyNumberFormat="1" applyFont="1" applyFill="1" applyBorder="1" applyAlignment="1">
      <alignment horizontal="left" vertical="top"/>
    </xf>
    <xf numFmtId="0" fontId="9" fillId="12" borderId="8" xfId="0" applyFont="1" applyFill="1" applyBorder="1" applyAlignment="1" applyProtection="1">
      <alignment horizontal="left" vertical="top" wrapText="1"/>
      <protection locked="0"/>
    </xf>
    <xf numFmtId="0" fontId="13" fillId="0" borderId="7" xfId="0" applyFont="1" applyFill="1" applyBorder="1" applyAlignment="1">
      <alignment horizontal="left" vertical="top" wrapText="1"/>
    </xf>
    <xf numFmtId="0" fontId="0" fillId="0" borderId="7" xfId="0" applyFill="1" applyBorder="1" applyAlignment="1">
      <alignment horizontal="left" vertical="top"/>
    </xf>
    <xf numFmtId="0" fontId="0" fillId="0" borderId="7" xfId="0" applyFill="1" applyBorder="1" applyAlignment="1">
      <alignment horizontal="left" vertical="top" wrapText="1"/>
    </xf>
    <xf numFmtId="0" fontId="11" fillId="12" borderId="7" xfId="0" applyFont="1" applyFill="1" applyBorder="1" applyAlignment="1">
      <alignment horizontal="left" vertical="top" wrapText="1"/>
    </xf>
    <xf numFmtId="0" fontId="0" fillId="0" borderId="7" xfId="0" applyFont="1" applyBorder="1" applyAlignment="1">
      <alignment horizontal="left" vertical="top"/>
    </xf>
    <xf numFmtId="0" fontId="0" fillId="6" borderId="7" xfId="0" applyFont="1" applyFill="1" applyBorder="1" applyAlignment="1">
      <alignment horizontal="left" vertical="top"/>
    </xf>
    <xf numFmtId="1" fontId="0" fillId="10" borderId="7" xfId="0" applyNumberFormat="1" applyFont="1" applyFill="1" applyBorder="1" applyAlignment="1">
      <alignment horizontal="left" vertical="top"/>
    </xf>
    <xf numFmtId="0" fontId="0" fillId="19" borderId="7" xfId="0" applyFill="1" applyBorder="1" applyAlignment="1">
      <alignment horizontal="left" vertical="top"/>
    </xf>
    <xf numFmtId="0" fontId="13" fillId="19" borderId="7" xfId="0" applyFont="1" applyFill="1" applyBorder="1" applyAlignment="1">
      <alignment horizontal="left" vertical="top" wrapText="1"/>
    </xf>
    <xf numFmtId="0" fontId="0" fillId="19" borderId="7" xfId="0" applyFill="1" applyBorder="1" applyAlignment="1">
      <alignment horizontal="left" vertical="top" wrapText="1"/>
    </xf>
    <xf numFmtId="0" fontId="11" fillId="19" borderId="7" xfId="0" applyFont="1" applyFill="1" applyBorder="1" applyAlignment="1">
      <alignment horizontal="left" vertical="top" wrapText="1"/>
    </xf>
    <xf numFmtId="0" fontId="0" fillId="19" borderId="7" xfId="0" applyFont="1" applyFill="1" applyBorder="1" applyAlignment="1">
      <alignment horizontal="left" vertical="top"/>
    </xf>
    <xf numFmtId="1" fontId="0" fillId="19" borderId="7" xfId="0" applyNumberFormat="1" applyFont="1" applyFill="1" applyBorder="1" applyAlignment="1">
      <alignment horizontal="left" vertical="top"/>
    </xf>
    <xf numFmtId="0" fontId="0" fillId="19" borderId="0" xfId="0" applyFont="1" applyFill="1" applyAlignment="1">
      <alignment horizontal="left" vertical="top"/>
    </xf>
    <xf numFmtId="9" fontId="36" fillId="6" borderId="8" xfId="2" applyFont="1" applyFill="1" applyBorder="1" applyAlignment="1">
      <alignment horizontal="left" vertical="top"/>
    </xf>
    <xf numFmtId="168" fontId="36" fillId="5" borderId="8" xfId="2" applyNumberFormat="1" applyFont="1" applyFill="1" applyBorder="1" applyAlignment="1">
      <alignment horizontal="left" vertical="top"/>
    </xf>
    <xf numFmtId="9" fontId="36" fillId="18" borderId="8" xfId="2" applyFont="1" applyFill="1" applyBorder="1" applyAlignment="1">
      <alignment horizontal="left" vertical="top"/>
    </xf>
    <xf numFmtId="0" fontId="36" fillId="0" borderId="8" xfId="0" applyFont="1" applyFill="1" applyBorder="1" applyAlignment="1">
      <alignment horizontal="left" vertical="top"/>
    </xf>
    <xf numFmtId="0" fontId="36" fillId="0" borderId="7" xfId="0" applyFont="1" applyFill="1" applyBorder="1" applyAlignment="1">
      <alignment horizontal="left" vertical="top"/>
    </xf>
    <xf numFmtId="0" fontId="36" fillId="0" borderId="8" xfId="0" applyFont="1" applyFill="1" applyBorder="1" applyAlignment="1">
      <alignment horizontal="left" wrapText="1"/>
    </xf>
    <xf numFmtId="0" fontId="0" fillId="6" borderId="8" xfId="0" applyFill="1" applyBorder="1" applyAlignment="1">
      <alignment horizontal="left" vertical="top" wrapText="1"/>
    </xf>
    <xf numFmtId="0" fontId="0" fillId="0" borderId="8" xfId="0" applyFont="1" applyFill="1" applyBorder="1" applyAlignment="1">
      <alignment horizontal="left" vertical="top" wrapText="1"/>
    </xf>
    <xf numFmtId="0" fontId="0" fillId="0" borderId="0" xfId="0" applyFont="1" applyFill="1" applyAlignment="1">
      <alignment horizontal="left" vertical="top"/>
    </xf>
    <xf numFmtId="0" fontId="10" fillId="12" borderId="8" xfId="0" applyFont="1" applyFill="1" applyBorder="1" applyAlignment="1">
      <alignment horizontal="left" vertical="top" wrapText="1"/>
    </xf>
    <xf numFmtId="165" fontId="0" fillId="5" borderId="8" xfId="0" applyNumberFormat="1" applyFill="1" applyBorder="1" applyAlignment="1">
      <alignment horizontal="left" vertical="top" wrapText="1"/>
    </xf>
    <xf numFmtId="1" fontId="4" fillId="0" borderId="8" xfId="0" applyNumberFormat="1" applyFont="1" applyBorder="1" applyAlignment="1">
      <alignment horizontal="left" vertical="top" wrapText="1"/>
    </xf>
    <xf numFmtId="0" fontId="9" fillId="12" borderId="8" xfId="0" applyFont="1" applyFill="1" applyBorder="1" applyAlignment="1">
      <alignment horizontal="left" vertical="top" wrapText="1"/>
    </xf>
    <xf numFmtId="0" fontId="5" fillId="0" borderId="8" xfId="0" applyFont="1" applyBorder="1" applyAlignment="1">
      <alignment horizontal="left" vertical="top" wrapText="1"/>
    </xf>
    <xf numFmtId="0" fontId="4" fillId="0" borderId="8" xfId="0" applyFont="1" applyBorder="1" applyAlignment="1">
      <alignment horizontal="left" vertical="top" wrapText="1"/>
    </xf>
    <xf numFmtId="0" fontId="5" fillId="7" borderId="8" xfId="0" applyFont="1" applyFill="1" applyBorder="1" applyAlignment="1">
      <alignment horizontal="left" vertical="top" wrapText="1"/>
    </xf>
    <xf numFmtId="0" fontId="5" fillId="8" borderId="8" xfId="0" applyFont="1" applyFill="1" applyBorder="1" applyAlignment="1">
      <alignment horizontal="left" vertical="top" wrapText="1"/>
    </xf>
    <xf numFmtId="1" fontId="0" fillId="5" borderId="24" xfId="0" applyNumberFormat="1" applyFont="1" applyFill="1" applyBorder="1" applyAlignment="1">
      <alignment horizontal="center" vertical="center"/>
    </xf>
    <xf numFmtId="0" fontId="21" fillId="2" borderId="1" xfId="0" applyFont="1" applyFill="1" applyBorder="1" applyAlignment="1">
      <alignment horizontal="left" vertical="top"/>
    </xf>
    <xf numFmtId="0" fontId="37" fillId="2" borderId="1" xfId="0" applyFont="1" applyFill="1" applyBorder="1" applyAlignment="1">
      <alignment horizontal="left" vertical="top"/>
    </xf>
    <xf numFmtId="0" fontId="21" fillId="2" borderId="2" xfId="0" applyFont="1" applyFill="1" applyBorder="1" applyAlignment="1">
      <alignment horizontal="left" vertical="top"/>
    </xf>
    <xf numFmtId="1" fontId="18" fillId="0" borderId="3" xfId="0" applyNumberFormat="1" applyFont="1" applyBorder="1" applyAlignment="1">
      <alignment horizontal="left" vertical="top"/>
    </xf>
    <xf numFmtId="0" fontId="18" fillId="0" borderId="3" xfId="0" applyFont="1" applyBorder="1" applyAlignment="1">
      <alignment horizontal="left" vertical="top"/>
    </xf>
    <xf numFmtId="0" fontId="21" fillId="0" borderId="1" xfId="0" applyFont="1" applyBorder="1" applyAlignment="1">
      <alignment horizontal="left" vertical="top" wrapText="1"/>
    </xf>
    <xf numFmtId="0" fontId="21" fillId="0" borderId="7" xfId="0" applyFont="1" applyBorder="1" applyAlignment="1">
      <alignment horizontal="left" vertical="top" wrapText="1"/>
    </xf>
    <xf numFmtId="0" fontId="21" fillId="3" borderId="7" xfId="0" applyFont="1" applyFill="1" applyBorder="1" applyAlignment="1">
      <alignment horizontal="left" vertical="top" wrapText="1"/>
    </xf>
    <xf numFmtId="0" fontId="21" fillId="0" borderId="0" xfId="0" applyFont="1" applyAlignment="1">
      <alignment horizontal="left" vertical="top"/>
    </xf>
    <xf numFmtId="0" fontId="9" fillId="0" borderId="0" xfId="0" applyFont="1" applyAlignment="1">
      <alignment horizontal="left" vertical="top"/>
    </xf>
    <xf numFmtId="0" fontId="21" fillId="7" borderId="10" xfId="0" applyFont="1" applyFill="1" applyBorder="1" applyAlignment="1">
      <alignment horizontal="left" vertical="top" wrapText="1"/>
    </xf>
    <xf numFmtId="0" fontId="21" fillId="7" borderId="11" xfId="0" applyFont="1" applyFill="1" applyBorder="1" applyAlignment="1">
      <alignment horizontal="left" vertical="top" wrapText="1"/>
    </xf>
    <xf numFmtId="0" fontId="37" fillId="7" borderId="11" xfId="0" applyFont="1" applyFill="1" applyBorder="1" applyAlignment="1">
      <alignment horizontal="left" vertical="top" wrapText="1"/>
    </xf>
    <xf numFmtId="0" fontId="21" fillId="0" borderId="21" xfId="0" applyFont="1" applyBorder="1" applyAlignment="1">
      <alignment horizontal="left" vertical="top" wrapText="1"/>
    </xf>
    <xf numFmtId="0" fontId="9" fillId="7" borderId="18" xfId="0" applyFont="1" applyFill="1" applyBorder="1" applyAlignment="1">
      <alignment horizontal="left" vertical="top" wrapText="1"/>
    </xf>
    <xf numFmtId="0" fontId="9" fillId="7" borderId="14" xfId="0" applyFont="1" applyFill="1" applyBorder="1" applyAlignment="1">
      <alignment horizontal="left" vertical="top" wrapText="1"/>
    </xf>
    <xf numFmtId="0" fontId="18" fillId="7" borderId="14" xfId="0" applyFont="1" applyFill="1" applyBorder="1" applyAlignment="1">
      <alignment horizontal="left" vertical="top" wrapText="1"/>
    </xf>
    <xf numFmtId="0" fontId="21" fillId="7" borderId="14" xfId="0" applyFont="1" applyFill="1" applyBorder="1" applyAlignment="1">
      <alignment horizontal="left" vertical="top" wrapText="1"/>
    </xf>
    <xf numFmtId="0" fontId="21" fillId="8" borderId="14" xfId="0" applyFont="1" applyFill="1" applyBorder="1" applyAlignment="1">
      <alignment horizontal="left" vertical="top" wrapText="1"/>
    </xf>
    <xf numFmtId="0" fontId="21" fillId="9" borderId="14" xfId="0" applyFont="1" applyFill="1" applyBorder="1" applyAlignment="1">
      <alignment horizontal="left" vertical="top" wrapText="1"/>
    </xf>
    <xf numFmtId="1" fontId="21" fillId="0" borderId="14" xfId="0" applyNumberFormat="1" applyFont="1" applyBorder="1" applyAlignment="1">
      <alignment horizontal="left" vertical="top" wrapText="1"/>
    </xf>
    <xf numFmtId="0" fontId="21" fillId="0" borderId="14" xfId="0" applyFont="1" applyBorder="1" applyAlignment="1">
      <alignment horizontal="left" vertical="top" wrapText="1"/>
    </xf>
    <xf numFmtId="0" fontId="21" fillId="7" borderId="22" xfId="0" applyFont="1" applyFill="1" applyBorder="1" applyAlignment="1">
      <alignment horizontal="left" vertical="top" wrapText="1"/>
    </xf>
    <xf numFmtId="0" fontId="21" fillId="7" borderId="23" xfId="0" applyFont="1" applyFill="1" applyBorder="1" applyAlignment="1">
      <alignment horizontal="left" vertical="top" wrapText="1"/>
    </xf>
    <xf numFmtId="0" fontId="9" fillId="4" borderId="1" xfId="0" applyFont="1" applyFill="1" applyBorder="1" applyAlignment="1">
      <alignment horizontal="left" vertical="top"/>
    </xf>
    <xf numFmtId="0" fontId="9" fillId="4" borderId="1" xfId="0" applyFont="1" applyFill="1" applyBorder="1" applyAlignment="1">
      <alignment horizontal="left" vertical="top" wrapText="1"/>
    </xf>
    <xf numFmtId="0" fontId="38" fillId="4" borderId="1" xfId="0" applyFont="1" applyFill="1" applyBorder="1" applyAlignment="1">
      <alignment horizontal="left" vertical="top" wrapText="1"/>
    </xf>
    <xf numFmtId="1" fontId="9" fillId="4" borderId="1" xfId="0" applyNumberFormat="1" applyFont="1" applyFill="1" applyBorder="1" applyAlignment="1">
      <alignment horizontal="left" vertical="top" wrapText="1"/>
    </xf>
    <xf numFmtId="0" fontId="9" fillId="5" borderId="2" xfId="0" applyFont="1" applyFill="1" applyBorder="1" applyAlignment="1">
      <alignment horizontal="left" vertical="top" wrapText="1"/>
    </xf>
    <xf numFmtId="0" fontId="9" fillId="0" borderId="8" xfId="0" applyFont="1" applyBorder="1" applyAlignment="1">
      <alignment horizontal="left" vertical="top"/>
    </xf>
    <xf numFmtId="0" fontId="9" fillId="6" borderId="8" xfId="0" applyFont="1" applyFill="1" applyBorder="1" applyAlignment="1">
      <alignment horizontal="left" vertical="top"/>
    </xf>
    <xf numFmtId="1" fontId="9" fillId="6" borderId="8" xfId="0" applyNumberFormat="1" applyFont="1" applyFill="1" applyBorder="1" applyAlignment="1">
      <alignment horizontal="left" vertical="top"/>
    </xf>
    <xf numFmtId="0" fontId="9" fillId="15" borderId="8" xfId="0" applyFont="1" applyFill="1" applyBorder="1" applyAlignment="1">
      <alignment horizontal="left" vertical="top"/>
    </xf>
    <xf numFmtId="0" fontId="9" fillId="4" borderId="7" xfId="0" applyFont="1" applyFill="1" applyBorder="1" applyAlignment="1">
      <alignment horizontal="left" vertical="top"/>
    </xf>
    <xf numFmtId="165" fontId="9" fillId="5" borderId="2" xfId="0" applyNumberFormat="1" applyFont="1" applyFill="1" applyBorder="1" applyAlignment="1">
      <alignment horizontal="left" vertical="top" wrapText="1"/>
    </xf>
    <xf numFmtId="1" fontId="9" fillId="10" borderId="8" xfId="0" applyNumberFormat="1" applyFont="1" applyFill="1" applyBorder="1" applyAlignment="1">
      <alignment horizontal="left" vertical="top"/>
    </xf>
    <xf numFmtId="1" fontId="9" fillId="15" borderId="8" xfId="0" applyNumberFormat="1" applyFont="1" applyFill="1" applyBorder="1" applyAlignment="1">
      <alignment horizontal="left" vertical="top"/>
    </xf>
    <xf numFmtId="0" fontId="9" fillId="5" borderId="8" xfId="0" applyFont="1" applyFill="1" applyBorder="1" applyAlignment="1">
      <alignment horizontal="left" vertical="top"/>
    </xf>
    <xf numFmtId="1" fontId="9" fillId="0" borderId="8" xfId="0" applyNumberFormat="1" applyFont="1" applyBorder="1" applyAlignment="1">
      <alignment horizontal="left" vertical="top"/>
    </xf>
    <xf numFmtId="12" fontId="9" fillId="4" borderId="1" xfId="0" applyNumberFormat="1" applyFont="1" applyFill="1" applyBorder="1" applyAlignment="1">
      <alignment horizontal="left" vertical="top" wrapText="1"/>
    </xf>
    <xf numFmtId="0" fontId="9" fillId="6" borderId="2" xfId="0" applyFont="1" applyFill="1" applyBorder="1" applyAlignment="1">
      <alignment horizontal="left" vertical="top" wrapText="1"/>
    </xf>
    <xf numFmtId="0" fontId="9" fillId="16" borderId="8" xfId="0" applyFont="1" applyFill="1" applyBorder="1" applyAlignment="1">
      <alignment horizontal="left" vertical="top"/>
    </xf>
    <xf numFmtId="165" fontId="9" fillId="6" borderId="2" xfId="0" applyNumberFormat="1" applyFont="1" applyFill="1" applyBorder="1" applyAlignment="1">
      <alignment horizontal="left" vertical="top" wrapText="1"/>
    </xf>
    <xf numFmtId="0" fontId="9" fillId="0" borderId="1" xfId="0" applyFont="1" applyFill="1" applyBorder="1" applyAlignment="1">
      <alignment horizontal="left" vertical="top"/>
    </xf>
    <xf numFmtId="0" fontId="38" fillId="0" borderId="1" xfId="0" applyFont="1" applyFill="1" applyBorder="1" applyAlignment="1">
      <alignment horizontal="left" vertical="top" wrapText="1"/>
    </xf>
    <xf numFmtId="0" fontId="9" fillId="0" borderId="1" xfId="0" applyFont="1" applyFill="1" applyBorder="1" applyAlignment="1">
      <alignment horizontal="left" vertical="top" wrapText="1"/>
    </xf>
    <xf numFmtId="1" fontId="9" fillId="0" borderId="1" xfId="0" applyNumberFormat="1" applyFont="1" applyFill="1" applyBorder="1" applyAlignment="1">
      <alignment horizontal="left" vertical="top" wrapText="1"/>
    </xf>
    <xf numFmtId="0" fontId="9" fillId="0" borderId="8" xfId="0" applyFont="1" applyFill="1" applyBorder="1" applyAlignment="1">
      <alignment horizontal="left" vertical="top"/>
    </xf>
    <xf numFmtId="0" fontId="9" fillId="0" borderId="7" xfId="0" applyFont="1" applyFill="1" applyBorder="1" applyAlignment="1">
      <alignment horizontal="left" vertical="top"/>
    </xf>
    <xf numFmtId="0" fontId="9" fillId="0" borderId="0" xfId="0" applyFont="1" applyFill="1" applyAlignment="1">
      <alignment horizontal="left" vertical="top"/>
    </xf>
    <xf numFmtId="165" fontId="9" fillId="5" borderId="8" xfId="0" applyNumberFormat="1" applyFont="1" applyFill="1" applyBorder="1" applyAlignment="1">
      <alignment horizontal="left" vertical="top"/>
    </xf>
    <xf numFmtId="0" fontId="18" fillId="4" borderId="1" xfId="0" applyFont="1" applyFill="1" applyBorder="1" applyAlignment="1">
      <alignment horizontal="left" vertical="top" wrapText="1"/>
    </xf>
    <xf numFmtId="49" fontId="18" fillId="4" borderId="1" xfId="0" applyNumberFormat="1" applyFont="1" applyFill="1" applyBorder="1" applyAlignment="1">
      <alignment horizontal="left" vertical="top" wrapText="1"/>
    </xf>
    <xf numFmtId="0" fontId="9" fillId="4" borderId="9" xfId="0" applyFont="1" applyFill="1" applyBorder="1" applyAlignment="1">
      <alignment horizontal="left" vertical="top"/>
    </xf>
    <xf numFmtId="49" fontId="18" fillId="4" borderId="9" xfId="0" applyNumberFormat="1" applyFont="1" applyFill="1" applyBorder="1" applyAlignment="1">
      <alignment horizontal="left" vertical="top" wrapText="1"/>
    </xf>
    <xf numFmtId="0" fontId="9" fillId="4" borderId="9" xfId="0" applyFont="1" applyFill="1" applyBorder="1" applyAlignment="1">
      <alignment horizontal="left" vertical="top" wrapText="1"/>
    </xf>
    <xf numFmtId="1" fontId="9" fillId="4" borderId="9" xfId="0" applyNumberFormat="1" applyFont="1" applyFill="1" applyBorder="1" applyAlignment="1">
      <alignment horizontal="left" vertical="top" wrapText="1"/>
    </xf>
    <xf numFmtId="49" fontId="18" fillId="4" borderId="8" xfId="0" applyNumberFormat="1" applyFont="1" applyFill="1" applyBorder="1" applyAlignment="1">
      <alignment horizontal="left" vertical="top" wrapText="1"/>
    </xf>
    <xf numFmtId="1" fontId="9" fillId="0" borderId="8" xfId="0" applyNumberFormat="1" applyFont="1" applyBorder="1" applyAlignment="1">
      <alignment horizontal="left" vertical="top" wrapText="1"/>
    </xf>
    <xf numFmtId="0" fontId="38" fillId="0" borderId="8" xfId="0" applyFont="1" applyBorder="1" applyAlignment="1">
      <alignment horizontal="left" vertical="top" wrapText="1"/>
    </xf>
    <xf numFmtId="0" fontId="38" fillId="0" borderId="8" xfId="0" applyFont="1" applyFill="1" applyBorder="1" applyAlignment="1">
      <alignment horizontal="left" vertical="top" wrapText="1"/>
    </xf>
    <xf numFmtId="0" fontId="9" fillId="0" borderId="8" xfId="0" applyFont="1" applyFill="1" applyBorder="1" applyAlignment="1">
      <alignment horizontal="left" vertical="top" wrapText="1"/>
    </xf>
    <xf numFmtId="1" fontId="9" fillId="0" borderId="8" xfId="0" applyNumberFormat="1" applyFont="1" applyFill="1" applyBorder="1" applyAlignment="1">
      <alignment horizontal="left" vertical="top" wrapText="1"/>
    </xf>
    <xf numFmtId="0" fontId="9" fillId="0" borderId="0" xfId="0" applyFont="1" applyAlignment="1">
      <alignment horizontal="left" vertical="top" wrapText="1"/>
    </xf>
    <xf numFmtId="1" fontId="9" fillId="0" borderId="0" xfId="0" applyNumberFormat="1" applyFont="1" applyAlignment="1">
      <alignment horizontal="left" vertical="top" wrapText="1"/>
    </xf>
    <xf numFmtId="165" fontId="9" fillId="6" borderId="8" xfId="1" applyNumberFormat="1" applyFont="1" applyFill="1" applyBorder="1" applyAlignment="1">
      <alignment horizontal="left" vertical="top"/>
    </xf>
    <xf numFmtId="0" fontId="18" fillId="0" borderId="8" xfId="0" applyFont="1" applyBorder="1" applyAlignment="1">
      <alignment horizontal="left" vertical="top" wrapText="1"/>
    </xf>
    <xf numFmtId="0" fontId="9" fillId="5" borderId="8" xfId="0" applyFont="1" applyFill="1" applyBorder="1" applyAlignment="1">
      <alignment horizontal="left" vertical="top" wrapText="1"/>
    </xf>
    <xf numFmtId="0" fontId="9" fillId="10" borderId="8" xfId="0" applyFont="1" applyFill="1" applyBorder="1" applyAlignment="1">
      <alignment horizontal="left" vertical="top" wrapText="1"/>
    </xf>
    <xf numFmtId="0" fontId="9" fillId="6" borderId="8" xfId="0" applyFont="1" applyFill="1" applyBorder="1" applyAlignment="1">
      <alignment horizontal="left" vertical="top" wrapText="1"/>
    </xf>
    <xf numFmtId="0" fontId="18" fillId="0" borderId="0" xfId="0" applyFont="1" applyAlignment="1">
      <alignment horizontal="left" vertical="top"/>
    </xf>
    <xf numFmtId="1" fontId="9" fillId="0" borderId="0" xfId="0" applyNumberFormat="1" applyFont="1" applyAlignment="1">
      <alignment horizontal="left" vertical="top"/>
    </xf>
    <xf numFmtId="1" fontId="9" fillId="5" borderId="2" xfId="0" applyNumberFormat="1" applyFont="1" applyFill="1" applyBorder="1" applyAlignment="1">
      <alignment horizontal="left" vertical="top" wrapText="1"/>
    </xf>
    <xf numFmtId="1" fontId="9" fillId="17" borderId="8" xfId="0" applyNumberFormat="1" applyFont="1" applyFill="1" applyBorder="1" applyAlignment="1">
      <alignment horizontal="left" vertical="top"/>
    </xf>
    <xf numFmtId="1" fontId="9" fillId="5" borderId="8" xfId="0" applyNumberFormat="1" applyFont="1" applyFill="1" applyBorder="1" applyAlignment="1">
      <alignment horizontal="left" vertical="top"/>
    </xf>
    <xf numFmtId="1" fontId="9" fillId="16" borderId="8" xfId="0" applyNumberFormat="1" applyFont="1" applyFill="1" applyBorder="1" applyAlignment="1">
      <alignment horizontal="left" vertical="top"/>
    </xf>
    <xf numFmtId="0" fontId="18" fillId="0" borderId="8" xfId="0" applyFont="1" applyBorder="1" applyAlignment="1">
      <alignment horizontal="left" vertical="top"/>
    </xf>
    <xf numFmtId="0" fontId="9" fillId="10" borderId="8" xfId="0" applyFont="1" applyFill="1" applyBorder="1" applyAlignment="1">
      <alignment horizontal="left" vertical="top"/>
    </xf>
    <xf numFmtId="0" fontId="40" fillId="0" borderId="21" xfId="0" applyFont="1" applyBorder="1" applyAlignment="1">
      <alignment horizontal="left" vertical="top" wrapText="1"/>
    </xf>
    <xf numFmtId="0" fontId="39" fillId="0" borderId="0" xfId="0" applyFont="1" applyAlignment="1">
      <alignment horizontal="left" vertical="top" wrapText="1"/>
    </xf>
    <xf numFmtId="0" fontId="39" fillId="0" borderId="7" xfId="0" applyFont="1" applyFill="1" applyBorder="1" applyAlignment="1">
      <alignment horizontal="left" vertical="top" wrapText="1"/>
    </xf>
    <xf numFmtId="0" fontId="40" fillId="7" borderId="26" xfId="0" applyFont="1" applyFill="1" applyBorder="1" applyAlignment="1">
      <alignment horizontal="left" vertical="top" wrapText="1"/>
    </xf>
    <xf numFmtId="0" fontId="40" fillId="7" borderId="14" xfId="0" applyFont="1" applyFill="1" applyBorder="1" applyAlignment="1">
      <alignment horizontal="left" vertical="top" wrapText="1"/>
    </xf>
    <xf numFmtId="0" fontId="40" fillId="8" borderId="22" xfId="0" applyFont="1" applyFill="1" applyBorder="1" applyAlignment="1">
      <alignment horizontal="left" vertical="top" wrapText="1"/>
    </xf>
    <xf numFmtId="0" fontId="40" fillId="9" borderId="22" xfId="0" applyFont="1" applyFill="1" applyBorder="1" applyAlignment="1">
      <alignment horizontal="left" vertical="top" wrapText="1"/>
    </xf>
    <xf numFmtId="1" fontId="40" fillId="0" borderId="22" xfId="0" applyNumberFormat="1" applyFont="1" applyBorder="1" applyAlignment="1">
      <alignment horizontal="left" vertical="top" wrapText="1"/>
    </xf>
    <xf numFmtId="0" fontId="40" fillId="0" borderId="22" xfId="0" applyFont="1" applyBorder="1" applyAlignment="1">
      <alignment horizontal="left" vertical="top" wrapText="1"/>
    </xf>
    <xf numFmtId="0" fontId="40" fillId="7" borderId="22" xfId="0" applyFont="1" applyFill="1" applyBorder="1" applyAlignment="1">
      <alignment horizontal="left" vertical="top" wrapText="1"/>
    </xf>
    <xf numFmtId="0" fontId="40" fillId="7" borderId="23" xfId="0" applyFont="1" applyFill="1" applyBorder="1" applyAlignment="1">
      <alignment horizontal="left" vertical="top" wrapText="1"/>
    </xf>
    <xf numFmtId="0" fontId="39" fillId="11" borderId="8" xfId="0" applyFont="1" applyFill="1" applyBorder="1" applyAlignment="1">
      <alignment horizontal="left" vertical="top" wrapText="1"/>
    </xf>
    <xf numFmtId="0" fontId="39" fillId="0" borderId="8" xfId="0" applyFont="1" applyBorder="1" applyAlignment="1">
      <alignment horizontal="left" vertical="top" wrapText="1"/>
    </xf>
    <xf numFmtId="0" fontId="39" fillId="0" borderId="8" xfId="3" applyFont="1" applyBorder="1" applyAlignment="1">
      <alignment horizontal="left" vertical="top" wrapText="1"/>
    </xf>
    <xf numFmtId="0" fontId="39" fillId="0" borderId="8" xfId="3" applyFont="1" applyFill="1" applyBorder="1" applyAlignment="1">
      <alignment horizontal="left" vertical="top" wrapText="1"/>
    </xf>
    <xf numFmtId="0" fontId="39" fillId="6" borderId="8" xfId="0" applyFont="1" applyFill="1" applyBorder="1" applyAlignment="1">
      <alignment horizontal="left" vertical="top" wrapText="1"/>
    </xf>
    <xf numFmtId="0" fontId="12" fillId="0" borderId="8" xfId="0" applyFont="1" applyBorder="1" applyAlignment="1">
      <alignment horizontal="left" vertical="top" wrapText="1"/>
    </xf>
    <xf numFmtId="0" fontId="12" fillId="0" borderId="0" xfId="0" applyFont="1" applyAlignment="1">
      <alignment horizontal="left" vertical="top" wrapText="1"/>
    </xf>
    <xf numFmtId="0" fontId="16" fillId="0" borderId="8" xfId="0" applyFont="1" applyBorder="1" applyAlignment="1">
      <alignment horizontal="left" vertical="top" wrapText="1"/>
    </xf>
    <xf numFmtId="0" fontId="12" fillId="5" borderId="8" xfId="0" applyFont="1" applyFill="1" applyBorder="1" applyAlignment="1">
      <alignment horizontal="left" vertical="top" wrapText="1"/>
    </xf>
    <xf numFmtId="0" fontId="12" fillId="5" borderId="8" xfId="0" applyNumberFormat="1" applyFont="1" applyFill="1" applyBorder="1" applyAlignment="1">
      <alignment horizontal="left" vertical="top" wrapText="1"/>
    </xf>
    <xf numFmtId="165" fontId="12" fillId="5" borderId="8" xfId="0" applyNumberFormat="1" applyFont="1" applyFill="1" applyBorder="1" applyAlignment="1">
      <alignment horizontal="left" vertical="top" wrapText="1"/>
    </xf>
    <xf numFmtId="0" fontId="12" fillId="10" borderId="8" xfId="0" applyFont="1" applyFill="1" applyBorder="1" applyAlignment="1">
      <alignment horizontal="left" vertical="top" wrapText="1"/>
    </xf>
    <xf numFmtId="0" fontId="12" fillId="6" borderId="8" xfId="1" applyNumberFormat="1" applyFont="1" applyFill="1" applyBorder="1" applyAlignment="1">
      <alignment horizontal="left" vertical="top" wrapText="1"/>
    </xf>
    <xf numFmtId="165" fontId="12" fillId="6" borderId="8" xfId="1" applyNumberFormat="1" applyFont="1" applyFill="1" applyBorder="1" applyAlignment="1">
      <alignment horizontal="left" vertical="top" wrapText="1"/>
    </xf>
    <xf numFmtId="0" fontId="12" fillId="6" borderId="8" xfId="0" applyFont="1" applyFill="1" applyBorder="1" applyAlignment="1">
      <alignment horizontal="left" vertical="top" wrapText="1"/>
    </xf>
    <xf numFmtId="165" fontId="39" fillId="10" borderId="8" xfId="0" applyNumberFormat="1" applyFont="1" applyFill="1" applyBorder="1" applyAlignment="1">
      <alignment horizontal="left" vertical="top" wrapText="1"/>
    </xf>
    <xf numFmtId="0" fontId="41" fillId="0" borderId="8" xfId="0" applyFont="1" applyBorder="1" applyAlignment="1">
      <alignment horizontal="left" vertical="top" wrapText="1"/>
    </xf>
    <xf numFmtId="0" fontId="41" fillId="0" borderId="0" xfId="0" applyFont="1" applyAlignment="1">
      <alignment horizontal="left" vertical="top" wrapText="1"/>
    </xf>
    <xf numFmtId="0" fontId="41" fillId="5" borderId="8" xfId="0" applyFont="1" applyFill="1" applyBorder="1" applyAlignment="1">
      <alignment horizontal="left" vertical="top" wrapText="1"/>
    </xf>
    <xf numFmtId="0" fontId="41" fillId="10" borderId="8" xfId="0" applyFont="1" applyFill="1" applyBorder="1" applyAlignment="1">
      <alignment horizontal="left" vertical="top" wrapText="1"/>
    </xf>
    <xf numFmtId="0" fontId="41" fillId="6" borderId="8" xfId="0" applyFont="1" applyFill="1" applyBorder="1" applyAlignment="1">
      <alignment horizontal="left" vertical="top" wrapText="1"/>
    </xf>
    <xf numFmtId="0" fontId="39" fillId="10" borderId="8" xfId="0" applyFont="1" applyFill="1" applyBorder="1" applyAlignment="1">
      <alignment horizontal="left" vertical="top" wrapText="1"/>
    </xf>
    <xf numFmtId="1" fontId="39" fillId="10" borderId="8" xfId="0" applyNumberFormat="1" applyFont="1" applyFill="1" applyBorder="1" applyAlignment="1">
      <alignment horizontal="left" vertical="top" wrapText="1"/>
    </xf>
    <xf numFmtId="1" fontId="39" fillId="6" borderId="8" xfId="0" applyNumberFormat="1" applyFont="1" applyFill="1" applyBorder="1" applyAlignment="1">
      <alignment horizontal="left" vertical="top" wrapText="1"/>
    </xf>
    <xf numFmtId="0" fontId="27" fillId="0" borderId="8" xfId="0" applyFont="1" applyBorder="1" applyAlignment="1">
      <alignment horizontal="left" vertical="top" wrapText="1"/>
    </xf>
    <xf numFmtId="0" fontId="27" fillId="12" borderId="8" xfId="0" applyFont="1" applyFill="1" applyBorder="1" applyAlignment="1">
      <alignment horizontal="left" vertical="top" wrapText="1"/>
    </xf>
    <xf numFmtId="0" fontId="42" fillId="0" borderId="8" xfId="0" applyFont="1" applyBorder="1" applyAlignment="1">
      <alignment horizontal="left" vertical="top" wrapText="1"/>
    </xf>
    <xf numFmtId="0" fontId="42" fillId="12" borderId="8" xfId="0" applyFont="1" applyFill="1" applyBorder="1" applyAlignment="1">
      <alignment horizontal="left" vertical="top" wrapText="1"/>
    </xf>
    <xf numFmtId="0" fontId="28" fillId="7" borderId="8" xfId="0" applyFont="1" applyFill="1" applyBorder="1" applyAlignment="1">
      <alignment horizontal="left" vertical="top" wrapText="1"/>
    </xf>
    <xf numFmtId="0" fontId="27" fillId="0" borderId="0" xfId="0" applyFont="1" applyAlignment="1">
      <alignment horizontal="left" vertical="top"/>
    </xf>
    <xf numFmtId="0" fontId="27" fillId="0" borderId="8" xfId="0" applyFont="1" applyBorder="1" applyAlignment="1">
      <alignment horizontal="left" vertical="top"/>
    </xf>
    <xf numFmtId="0" fontId="27" fillId="6" borderId="8" xfId="0" applyFont="1" applyFill="1" applyBorder="1" applyAlignment="1">
      <alignment horizontal="left" vertical="top"/>
    </xf>
    <xf numFmtId="1" fontId="27" fillId="5" borderId="8" xfId="0" applyNumberFormat="1" applyFont="1" applyFill="1" applyBorder="1" applyAlignment="1">
      <alignment horizontal="left" vertical="top"/>
    </xf>
    <xf numFmtId="165" fontId="27" fillId="5" borderId="8" xfId="0" applyNumberFormat="1" applyFont="1" applyFill="1" applyBorder="1" applyAlignment="1">
      <alignment horizontal="left" vertical="top"/>
    </xf>
    <xf numFmtId="1" fontId="27" fillId="6" borderId="8" xfId="0" applyNumberFormat="1" applyFont="1" applyFill="1" applyBorder="1" applyAlignment="1">
      <alignment horizontal="left" vertical="top"/>
    </xf>
    <xf numFmtId="0" fontId="27" fillId="10" borderId="8" xfId="0" applyFont="1" applyFill="1" applyBorder="1" applyAlignment="1">
      <alignment horizontal="left" vertical="top"/>
    </xf>
    <xf numFmtId="0" fontId="27" fillId="5" borderId="8" xfId="0" applyFont="1" applyFill="1" applyBorder="1" applyAlignment="1">
      <alignment horizontal="left" vertical="top"/>
    </xf>
    <xf numFmtId="165" fontId="27" fillId="6" borderId="8" xfId="1" applyNumberFormat="1" applyFont="1" applyFill="1" applyBorder="1" applyAlignment="1">
      <alignment horizontal="left" vertical="top"/>
    </xf>
    <xf numFmtId="165" fontId="27" fillId="10" borderId="8" xfId="0" applyNumberFormat="1" applyFont="1" applyFill="1" applyBorder="1" applyAlignment="1">
      <alignment horizontal="left" vertical="top"/>
    </xf>
    <xf numFmtId="1" fontId="27" fillId="10" borderId="8" xfId="0" applyNumberFormat="1" applyFont="1" applyFill="1" applyBorder="1" applyAlignment="1">
      <alignment horizontal="left" vertical="top"/>
    </xf>
    <xf numFmtId="0" fontId="31" fillId="10" borderId="8" xfId="0" applyFont="1" applyFill="1" applyBorder="1" applyAlignment="1">
      <alignment horizontal="left" vertical="top"/>
    </xf>
    <xf numFmtId="9" fontId="27" fillId="0" borderId="8" xfId="0" applyNumberFormat="1" applyFont="1" applyBorder="1" applyAlignment="1">
      <alignment horizontal="left" vertical="top"/>
    </xf>
    <xf numFmtId="9" fontId="27" fillId="0" borderId="8" xfId="0" applyNumberFormat="1" applyFont="1" applyBorder="1" applyAlignment="1">
      <alignment horizontal="left" vertical="top" wrapText="1"/>
    </xf>
    <xf numFmtId="0" fontId="44" fillId="0" borderId="8" xfId="0" applyFont="1" applyBorder="1" applyAlignment="1">
      <alignment horizontal="left" vertical="top" wrapText="1"/>
    </xf>
    <xf numFmtId="0" fontId="26" fillId="0" borderId="0" xfId="0" applyFont="1" applyAlignment="1">
      <alignment horizontal="left" vertical="top"/>
    </xf>
    <xf numFmtId="0" fontId="44" fillId="7" borderId="8" xfId="0" applyFont="1" applyFill="1" applyBorder="1" applyAlignment="1">
      <alignment horizontal="left" vertical="top" wrapText="1"/>
    </xf>
    <xf numFmtId="0" fontId="44" fillId="8" borderId="8" xfId="0" applyFont="1" applyFill="1" applyBorder="1" applyAlignment="1">
      <alignment horizontal="left" vertical="top" wrapText="1"/>
    </xf>
    <xf numFmtId="0" fontId="44" fillId="9" borderId="8" xfId="0" applyFont="1" applyFill="1" applyBorder="1" applyAlignment="1">
      <alignment horizontal="left" vertical="top" wrapText="1"/>
    </xf>
    <xf numFmtId="1" fontId="44" fillId="0" borderId="8" xfId="0" applyNumberFormat="1" applyFont="1" applyBorder="1" applyAlignment="1">
      <alignment horizontal="left" vertical="top" wrapText="1"/>
    </xf>
    <xf numFmtId="0" fontId="45" fillId="11" borderId="8" xfId="23" applyFont="1" applyFill="1" applyBorder="1" applyAlignment="1">
      <alignment horizontal="left" vertical="center"/>
    </xf>
    <xf numFmtId="0" fontId="26" fillId="0" borderId="8" xfId="0" applyFont="1" applyBorder="1" applyAlignment="1">
      <alignment horizontal="left" vertical="top"/>
    </xf>
    <xf numFmtId="0" fontId="41" fillId="0" borderId="8" xfId="23" applyFont="1" applyBorder="1" applyAlignment="1">
      <alignment horizontal="left" vertical="top"/>
    </xf>
    <xf numFmtId="0" fontId="26" fillId="6" borderId="8" xfId="0" applyFont="1" applyFill="1" applyBorder="1" applyAlignment="1">
      <alignment horizontal="left" vertical="top"/>
    </xf>
    <xf numFmtId="0" fontId="41" fillId="0" borderId="8" xfId="0" applyFont="1" applyBorder="1" applyAlignment="1">
      <alignment horizontal="left" vertical="top"/>
    </xf>
    <xf numFmtId="0" fontId="26" fillId="12" borderId="8" xfId="0" applyFont="1" applyFill="1" applyBorder="1" applyAlignment="1">
      <alignment horizontal="left" vertical="top"/>
    </xf>
    <xf numFmtId="0" fontId="26" fillId="0" borderId="8" xfId="0" applyFont="1" applyFill="1" applyBorder="1" applyAlignment="1">
      <alignment horizontal="left" vertical="top"/>
    </xf>
    <xf numFmtId="0" fontId="41" fillId="0" borderId="8" xfId="23" applyFont="1" applyBorder="1" applyAlignment="1">
      <alignment horizontal="left" vertical="center" wrapText="1"/>
    </xf>
    <xf numFmtId="0" fontId="41" fillId="0" borderId="8" xfId="0" applyNumberFormat="1" applyFont="1" applyBorder="1" applyAlignment="1">
      <alignment horizontal="left" vertical="top"/>
    </xf>
    <xf numFmtId="0" fontId="41" fillId="0" borderId="8" xfId="23" applyFont="1" applyBorder="1" applyAlignment="1">
      <alignment horizontal="left" vertical="center"/>
    </xf>
    <xf numFmtId="0" fontId="46" fillId="12" borderId="8" xfId="0" applyFont="1" applyFill="1" applyBorder="1" applyAlignment="1">
      <alignment horizontal="left" vertical="top" wrapText="1"/>
    </xf>
    <xf numFmtId="0" fontId="26" fillId="5" borderId="8" xfId="0" applyFont="1" applyFill="1" applyBorder="1" applyAlignment="1">
      <alignment horizontal="left" vertical="top"/>
    </xf>
    <xf numFmtId="0" fontId="26" fillId="10" borderId="8" xfId="0" applyFont="1" applyFill="1" applyBorder="1" applyAlignment="1">
      <alignment horizontal="left" vertical="top"/>
    </xf>
    <xf numFmtId="0" fontId="41" fillId="0" borderId="8" xfId="23" applyFont="1" applyFill="1" applyBorder="1" applyAlignment="1">
      <alignment horizontal="left" vertical="center"/>
    </xf>
    <xf numFmtId="1" fontId="26" fillId="5" borderId="8" xfId="0" applyNumberFormat="1" applyFont="1" applyFill="1" applyBorder="1" applyAlignment="1">
      <alignment horizontal="left" vertical="top"/>
    </xf>
    <xf numFmtId="0" fontId="41" fillId="0" borderId="8" xfId="23" applyFont="1" applyFill="1" applyBorder="1" applyAlignment="1">
      <alignment horizontal="left" vertical="center" wrapText="1"/>
    </xf>
    <xf numFmtId="1" fontId="26" fillId="10" borderId="8" xfId="0" applyNumberFormat="1" applyFont="1" applyFill="1" applyBorder="1" applyAlignment="1">
      <alignment horizontal="left" vertical="top"/>
    </xf>
    <xf numFmtId="1" fontId="26" fillId="6" borderId="8" xfId="0" applyNumberFormat="1" applyFont="1" applyFill="1" applyBorder="1" applyAlignment="1">
      <alignment horizontal="left" vertical="top"/>
    </xf>
    <xf numFmtId="1" fontId="47" fillId="6" borderId="8" xfId="0" applyNumberFormat="1" applyFont="1" applyFill="1" applyBorder="1" applyAlignment="1">
      <alignment horizontal="left" vertical="top"/>
    </xf>
    <xf numFmtId="1" fontId="47" fillId="10" borderId="8" xfId="0" applyNumberFormat="1" applyFont="1" applyFill="1" applyBorder="1" applyAlignment="1">
      <alignment horizontal="left" vertical="top"/>
    </xf>
    <xf numFmtId="0" fontId="26" fillId="0" borderId="0" xfId="0" applyFont="1" applyAlignment="1">
      <alignment horizontal="left"/>
    </xf>
    <xf numFmtId="0" fontId="26" fillId="0" borderId="8" xfId="0" applyFont="1" applyBorder="1" applyAlignment="1">
      <alignment horizontal="left" vertical="center" wrapText="1"/>
    </xf>
    <xf numFmtId="0" fontId="26" fillId="0" borderId="0" xfId="0" applyFont="1" applyAlignment="1">
      <alignment horizontal="left" wrapText="1"/>
    </xf>
    <xf numFmtId="0" fontId="47" fillId="0" borderId="8" xfId="0" applyFont="1" applyBorder="1" applyAlignment="1">
      <alignment horizontal="left" vertical="center" wrapText="1"/>
    </xf>
    <xf numFmtId="0" fontId="26" fillId="5" borderId="8" xfId="0" applyFont="1" applyFill="1" applyBorder="1" applyAlignment="1">
      <alignment horizontal="left" vertical="center" wrapText="1"/>
    </xf>
    <xf numFmtId="0" fontId="26" fillId="5" borderId="8" xfId="0" applyFont="1" applyFill="1" applyBorder="1" applyAlignment="1">
      <alignment horizontal="left"/>
    </xf>
    <xf numFmtId="1" fontId="26" fillId="5" borderId="8" xfId="0" applyNumberFormat="1" applyFont="1" applyFill="1" applyBorder="1" applyAlignment="1">
      <alignment horizontal="left" vertical="center" wrapText="1"/>
    </xf>
    <xf numFmtId="0" fontId="26" fillId="10" borderId="8" xfId="0" applyFont="1" applyFill="1" applyBorder="1" applyAlignment="1">
      <alignment horizontal="left" vertical="center" wrapText="1"/>
    </xf>
    <xf numFmtId="0" fontId="26" fillId="10" borderId="8" xfId="0" applyFont="1" applyFill="1" applyBorder="1" applyAlignment="1">
      <alignment horizontal="left" wrapText="1"/>
    </xf>
    <xf numFmtId="164" fontId="26" fillId="6" borderId="8" xfId="1" applyFont="1" applyFill="1" applyBorder="1" applyAlignment="1">
      <alignment horizontal="left" vertical="center" wrapText="1"/>
    </xf>
    <xf numFmtId="0" fontId="26" fillId="6" borderId="8" xfId="0" applyFont="1" applyFill="1" applyBorder="1" applyAlignment="1">
      <alignment horizontal="left" vertical="center" wrapText="1"/>
    </xf>
    <xf numFmtId="0" fontId="26" fillId="6" borderId="8" xfId="0" applyFont="1" applyFill="1" applyBorder="1" applyAlignment="1">
      <alignment horizontal="left"/>
    </xf>
    <xf numFmtId="164" fontId="26" fillId="10" borderId="8" xfId="1" applyFont="1" applyFill="1" applyBorder="1" applyAlignment="1">
      <alignment horizontal="left" vertical="center" wrapText="1"/>
    </xf>
    <xf numFmtId="0" fontId="41" fillId="0" borderId="8" xfId="23" applyFont="1" applyBorder="1" applyAlignment="1">
      <alignment horizontal="left" vertical="top" wrapText="1"/>
    </xf>
    <xf numFmtId="0" fontId="26" fillId="19" borderId="0" xfId="0" applyFont="1" applyFill="1" applyAlignment="1">
      <alignment horizontal="left" vertical="top"/>
    </xf>
    <xf numFmtId="0" fontId="41" fillId="0" borderId="7" xfId="23" applyFont="1" applyBorder="1" applyAlignment="1">
      <alignment horizontal="left" vertical="top" wrapText="1"/>
    </xf>
    <xf numFmtId="0" fontId="0" fillId="10" borderId="8" xfId="0" applyFill="1" applyBorder="1" applyAlignment="1">
      <alignment horizontal="left" vertical="top" wrapText="1"/>
    </xf>
    <xf numFmtId="0" fontId="0" fillId="10" borderId="8" xfId="0" applyFill="1" applyBorder="1" applyAlignment="1">
      <alignment horizontal="left" vertical="top"/>
    </xf>
    <xf numFmtId="0" fontId="46" fillId="10" borderId="8" xfId="0" applyFont="1" applyFill="1" applyBorder="1" applyAlignment="1">
      <alignment horizontal="left" vertical="top"/>
    </xf>
    <xf numFmtId="0" fontId="9" fillId="0" borderId="8" xfId="0" applyFont="1" applyBorder="1" applyAlignment="1">
      <alignment horizontal="left" vertical="top" wrapText="1"/>
    </xf>
    <xf numFmtId="0" fontId="12" fillId="0" borderId="8" xfId="0" applyFont="1" applyBorder="1" applyAlignment="1">
      <alignment horizontal="left" vertical="top" wrapText="1"/>
    </xf>
    <xf numFmtId="0" fontId="0" fillId="0" borderId="8" xfId="0" applyFont="1" applyBorder="1" applyAlignment="1">
      <alignment horizontal="left" vertical="top"/>
    </xf>
    <xf numFmtId="0" fontId="4" fillId="0" borderId="8" xfId="0" applyFont="1" applyBorder="1" applyAlignment="1">
      <alignment horizontal="left" vertical="top" wrapText="1"/>
    </xf>
    <xf numFmtId="0" fontId="0" fillId="0" borderId="8" xfId="0" applyFont="1" applyBorder="1" applyAlignment="1">
      <alignment horizontal="left" vertical="top" wrapText="1"/>
    </xf>
    <xf numFmtId="0" fontId="0" fillId="0" borderId="8" xfId="0" applyBorder="1" applyAlignment="1">
      <alignment horizontal="left" vertical="top"/>
    </xf>
    <xf numFmtId="0" fontId="0" fillId="11" borderId="8" xfId="0" applyFill="1" applyBorder="1" applyAlignment="1">
      <alignment horizontal="left" vertical="top"/>
    </xf>
    <xf numFmtId="0" fontId="4" fillId="0" borderId="8" xfId="0" applyFont="1" applyBorder="1" applyAlignment="1">
      <alignment horizontal="center" vertical="center" wrapText="1"/>
    </xf>
    <xf numFmtId="0" fontId="27" fillId="0" borderId="8" xfId="0" applyFont="1" applyBorder="1" applyAlignment="1">
      <alignment horizontal="left" vertical="top" wrapText="1"/>
    </xf>
    <xf numFmtId="0" fontId="28" fillId="8" borderId="8" xfId="0" applyFont="1" applyFill="1" applyBorder="1" applyAlignment="1">
      <alignment horizontal="left" vertical="top" wrapText="1"/>
    </xf>
    <xf numFmtId="0" fontId="28" fillId="0" borderId="8" xfId="0" applyFont="1" applyBorder="1" applyAlignment="1">
      <alignment horizontal="left" vertical="top" wrapText="1"/>
    </xf>
    <xf numFmtId="0" fontId="28" fillId="7" borderId="8" xfId="0" applyFont="1" applyFill="1" applyBorder="1" applyAlignment="1">
      <alignment horizontal="left" vertical="top" wrapText="1"/>
    </xf>
    <xf numFmtId="0" fontId="26" fillId="0" borderId="8" xfId="0" applyFont="1" applyBorder="1" applyAlignment="1">
      <alignment horizontal="left" vertical="center" wrapText="1"/>
    </xf>
    <xf numFmtId="0" fontId="12" fillId="12" borderId="8" xfId="12" applyFont="1" applyFill="1" applyBorder="1" applyAlignment="1">
      <alignment horizontal="left" vertical="top" wrapText="1"/>
    </xf>
    <xf numFmtId="0" fontId="12" fillId="0" borderId="8" xfId="12" applyFont="1" applyFill="1" applyBorder="1" applyAlignment="1">
      <alignment horizontal="left" vertical="top" wrapText="1"/>
    </xf>
    <xf numFmtId="0" fontId="4" fillId="0" borderId="8" xfId="0" applyFont="1" applyBorder="1" applyAlignment="1">
      <alignment horizontal="left" vertical="top"/>
    </xf>
    <xf numFmtId="1" fontId="4" fillId="6" borderId="8" xfId="0" applyNumberFormat="1" applyFont="1" applyFill="1" applyBorder="1" applyAlignment="1">
      <alignment horizontal="left" vertical="top"/>
    </xf>
    <xf numFmtId="0" fontId="4" fillId="0" borderId="8" xfId="0" applyFont="1" applyFill="1" applyBorder="1" applyAlignment="1">
      <alignment horizontal="left" vertical="top"/>
    </xf>
    <xf numFmtId="0" fontId="4" fillId="0" borderId="0" xfId="0" applyFont="1" applyFill="1" applyAlignment="1">
      <alignment horizontal="left" vertical="top"/>
    </xf>
    <xf numFmtId="0" fontId="13" fillId="0" borderId="29" xfId="14" applyFont="1" applyFill="1" applyBorder="1" applyAlignment="1">
      <alignment horizontal="left" vertical="top" wrapText="1"/>
    </xf>
    <xf numFmtId="0" fontId="11" fillId="12" borderId="8" xfId="12" applyFont="1" applyFill="1" applyBorder="1" applyAlignment="1">
      <alignment horizontal="left" vertical="top" wrapText="1"/>
    </xf>
    <xf numFmtId="0" fontId="11" fillId="0" borderId="29" xfId="14" applyFont="1" applyFill="1" applyBorder="1" applyAlignment="1">
      <alignment horizontal="left" vertical="top" wrapText="1"/>
    </xf>
    <xf numFmtId="0" fontId="11" fillId="0" borderId="8" xfId="14" applyFont="1" applyFill="1" applyBorder="1" applyAlignment="1">
      <alignment horizontal="left" vertical="top" wrapText="1"/>
    </xf>
    <xf numFmtId="0" fontId="11" fillId="0" borderId="8" xfId="12" applyFont="1" applyBorder="1" applyAlignment="1">
      <alignment horizontal="left" vertical="top" wrapText="1"/>
    </xf>
    <xf numFmtId="0" fontId="11" fillId="0" borderId="8" xfId="12" applyFont="1" applyFill="1" applyBorder="1" applyAlignment="1">
      <alignment horizontal="left" vertical="top" wrapText="1"/>
    </xf>
    <xf numFmtId="1" fontId="4" fillId="5" borderId="8" xfId="0" applyNumberFormat="1" applyFont="1" applyFill="1" applyBorder="1" applyAlignment="1">
      <alignment horizontal="left" vertical="top"/>
    </xf>
    <xf numFmtId="0" fontId="4" fillId="10" borderId="8" xfId="0" applyFont="1" applyFill="1" applyBorder="1" applyAlignment="1">
      <alignment horizontal="left" vertical="top"/>
    </xf>
    <xf numFmtId="0" fontId="9" fillId="11" borderId="8" xfId="0" applyFont="1" applyFill="1" applyBorder="1" applyAlignment="1">
      <alignment wrapText="1"/>
    </xf>
    <xf numFmtId="0" fontId="21" fillId="0" borderId="8" xfId="0" applyFont="1" applyFill="1" applyBorder="1" applyAlignment="1">
      <alignment vertical="center" wrapText="1"/>
    </xf>
    <xf numFmtId="9" fontId="0" fillId="6" borderId="24" xfId="0" applyNumberFormat="1" applyFill="1" applyBorder="1" applyAlignment="1">
      <alignment vertical="center" wrapText="1"/>
    </xf>
    <xf numFmtId="9" fontId="9" fillId="6" borderId="8" xfId="2" applyFont="1" applyFill="1" applyBorder="1" applyAlignment="1">
      <alignment vertical="center" wrapText="1"/>
    </xf>
    <xf numFmtId="1" fontId="9" fillId="5" borderId="24" xfId="2" applyNumberFormat="1" applyFont="1" applyFill="1" applyBorder="1" applyAlignment="1">
      <alignment horizontal="center" vertical="center"/>
    </xf>
    <xf numFmtId="1" fontId="9" fillId="18" borderId="8" xfId="2" applyNumberFormat="1" applyFont="1" applyFill="1" applyBorder="1" applyAlignment="1">
      <alignment horizontal="center" vertical="center"/>
    </xf>
    <xf numFmtId="1" fontId="9" fillId="5" borderId="8" xfId="2" applyNumberFormat="1" applyFont="1" applyFill="1" applyBorder="1" applyAlignment="1">
      <alignment horizontal="center" vertical="center"/>
    </xf>
    <xf numFmtId="0" fontId="9" fillId="10" borderId="8" xfId="2" applyNumberFormat="1" applyFont="1" applyFill="1" applyBorder="1" applyAlignment="1">
      <alignment horizontal="center" vertical="center"/>
    </xf>
    <xf numFmtId="1" fontId="9" fillId="10" borderId="8" xfId="2" applyNumberFormat="1" applyFont="1" applyFill="1" applyBorder="1" applyAlignment="1">
      <alignment horizontal="center" vertical="center"/>
    </xf>
    <xf numFmtId="9" fontId="9" fillId="10" borderId="8" xfId="2" applyFont="1" applyFill="1" applyBorder="1" applyAlignment="1">
      <alignment horizontal="center" vertical="center" wrapText="1"/>
    </xf>
    <xf numFmtId="0" fontId="0" fillId="0" borderId="8" xfId="0" applyFill="1" applyBorder="1" applyAlignment="1">
      <alignment horizontal="center"/>
    </xf>
    <xf numFmtId="1" fontId="9" fillId="0" borderId="8" xfId="2" applyNumberFormat="1" applyFont="1" applyFill="1" applyBorder="1" applyAlignment="1">
      <alignment horizontal="center" wrapText="1"/>
    </xf>
    <xf numFmtId="1" fontId="0" fillId="0" borderId="8" xfId="0" applyNumberFormat="1" applyFill="1" applyBorder="1" applyAlignment="1">
      <alignment horizontal="center"/>
    </xf>
    <xf numFmtId="9" fontId="9" fillId="6" borderId="8" xfId="2" applyFont="1" applyFill="1" applyBorder="1" applyAlignment="1"/>
    <xf numFmtId="0" fontId="29" fillId="0" borderId="8" xfId="0" applyFont="1" applyFill="1" applyBorder="1" applyAlignment="1">
      <alignment horizontal="left" vertical="top" wrapText="1"/>
    </xf>
    <xf numFmtId="0" fontId="27" fillId="0" borderId="8" xfId="0" applyFont="1" applyFill="1" applyBorder="1" applyAlignment="1">
      <alignment horizontal="left" wrapText="1"/>
    </xf>
    <xf numFmtId="0" fontId="30" fillId="0" borderId="8" xfId="0" applyFont="1" applyFill="1" applyBorder="1" applyAlignment="1">
      <alignment horizontal="left" wrapText="1"/>
    </xf>
    <xf numFmtId="0" fontId="27" fillId="0" borderId="29" xfId="0" applyFont="1" applyBorder="1" applyAlignment="1">
      <alignment horizontal="left" vertical="top" wrapText="1"/>
    </xf>
    <xf numFmtId="0" fontId="21" fillId="2" borderId="2" xfId="0" applyFont="1" applyFill="1" applyBorder="1" applyAlignment="1">
      <alignment horizontal="left" vertical="top" wrapText="1"/>
    </xf>
    <xf numFmtId="0" fontId="18" fillId="0" borderId="3" xfId="0" applyFont="1" applyBorder="1" applyAlignment="1">
      <alignment horizontal="left" vertical="top"/>
    </xf>
    <xf numFmtId="0" fontId="18" fillId="0" borderId="4" xfId="0" applyFont="1" applyBorder="1" applyAlignment="1">
      <alignment horizontal="left" vertical="top"/>
    </xf>
    <xf numFmtId="0" fontId="18" fillId="0" borderId="5" xfId="0" applyFont="1" applyBorder="1" applyAlignment="1">
      <alignment horizontal="left" vertical="top"/>
    </xf>
    <xf numFmtId="0" fontId="18" fillId="0" borderId="6" xfId="0" applyFont="1" applyBorder="1" applyAlignment="1">
      <alignment horizontal="left" vertical="top"/>
    </xf>
    <xf numFmtId="0" fontId="21" fillId="0" borderId="0" xfId="0" applyFont="1" applyAlignment="1">
      <alignment horizontal="left" vertical="top" wrapText="1"/>
    </xf>
    <xf numFmtId="0" fontId="9" fillId="0" borderId="0" xfId="0" applyFont="1" applyAlignment="1">
      <alignment horizontal="left" vertical="top"/>
    </xf>
    <xf numFmtId="0" fontId="21" fillId="7" borderId="19" xfId="0" applyFont="1" applyFill="1" applyBorder="1" applyAlignment="1">
      <alignment horizontal="left" vertical="top" wrapText="1"/>
    </xf>
    <xf numFmtId="0" fontId="21" fillId="7" borderId="12" xfId="0" applyFont="1" applyFill="1" applyBorder="1" applyAlignment="1">
      <alignment horizontal="left" vertical="top" wrapText="1"/>
    </xf>
    <xf numFmtId="0" fontId="21" fillId="7" borderId="13" xfId="0" applyFont="1" applyFill="1" applyBorder="1" applyAlignment="1">
      <alignment horizontal="left" vertical="top" wrapText="1"/>
    </xf>
    <xf numFmtId="0" fontId="21" fillId="0" borderId="15" xfId="0" applyFont="1" applyBorder="1" applyAlignment="1">
      <alignment horizontal="left" vertical="top" wrapText="1"/>
    </xf>
    <xf numFmtId="0" fontId="21" fillId="0" borderId="16" xfId="0" applyFont="1" applyBorder="1" applyAlignment="1">
      <alignment horizontal="left" vertical="top" wrapText="1"/>
    </xf>
    <xf numFmtId="0" fontId="21" fillId="0" borderId="17" xfId="0" applyFont="1" applyBorder="1" applyAlignment="1">
      <alignment horizontal="left" vertical="top" wrapText="1"/>
    </xf>
    <xf numFmtId="0" fontId="9" fillId="0" borderId="8" xfId="0" applyFont="1" applyBorder="1" applyAlignment="1">
      <alignment horizontal="left" vertical="top" wrapText="1"/>
    </xf>
    <xf numFmtId="0" fontId="21" fillId="0" borderId="8" xfId="0" applyFont="1" applyBorder="1" applyAlignment="1">
      <alignment horizontal="left" vertical="top" wrapText="1"/>
    </xf>
    <xf numFmtId="0" fontId="21" fillId="0" borderId="24" xfId="0" applyFont="1" applyBorder="1" applyAlignment="1">
      <alignment horizontal="left" vertical="top" wrapText="1"/>
    </xf>
    <xf numFmtId="0" fontId="21" fillId="8" borderId="20" xfId="0" applyFont="1" applyFill="1" applyBorder="1" applyAlignment="1">
      <alignment horizontal="left" vertical="top" wrapText="1"/>
    </xf>
    <xf numFmtId="0" fontId="21" fillId="8" borderId="16" xfId="0" applyFont="1" applyFill="1" applyBorder="1" applyAlignment="1">
      <alignment horizontal="left" vertical="top" wrapText="1"/>
    </xf>
    <xf numFmtId="0" fontId="21" fillId="8" borderId="17" xfId="0" applyFont="1" applyFill="1" applyBorder="1" applyAlignment="1">
      <alignment horizontal="left" vertical="top" wrapText="1"/>
    </xf>
    <xf numFmtId="0" fontId="40" fillId="0" borderId="8" xfId="0" applyFont="1" applyBorder="1" applyAlignment="1">
      <alignment horizontal="left" vertical="top" wrapText="1"/>
    </xf>
    <xf numFmtId="0" fontId="40" fillId="0" borderId="24" xfId="0" applyFont="1" applyBorder="1" applyAlignment="1">
      <alignment horizontal="left" vertical="top" wrapText="1"/>
    </xf>
    <xf numFmtId="0" fontId="12" fillId="0" borderId="8" xfId="0" applyFont="1" applyBorder="1" applyAlignment="1">
      <alignment horizontal="left" vertical="top" wrapText="1"/>
    </xf>
    <xf numFmtId="0" fontId="41" fillId="11" borderId="8" xfId="0" applyFont="1" applyFill="1" applyBorder="1" applyAlignment="1">
      <alignment horizontal="left" vertical="top" wrapText="1"/>
    </xf>
    <xf numFmtId="0" fontId="40" fillId="7" borderId="13" xfId="0" applyFont="1" applyFill="1" applyBorder="1" applyAlignment="1">
      <alignment horizontal="left" vertical="top" wrapText="1"/>
    </xf>
    <xf numFmtId="0" fontId="40" fillId="7" borderId="12" xfId="0" applyFont="1" applyFill="1" applyBorder="1" applyAlignment="1">
      <alignment horizontal="left" vertical="top" wrapText="1"/>
    </xf>
    <xf numFmtId="0" fontId="40" fillId="8" borderId="20" xfId="0" applyFont="1" applyFill="1" applyBorder="1" applyAlignment="1">
      <alignment horizontal="left" vertical="top" wrapText="1"/>
    </xf>
    <xf numFmtId="0" fontId="40" fillId="8" borderId="16" xfId="0" applyFont="1" applyFill="1" applyBorder="1" applyAlignment="1">
      <alignment horizontal="left" vertical="top" wrapText="1"/>
    </xf>
    <xf numFmtId="0" fontId="40" fillId="8" borderId="17" xfId="0" applyFont="1" applyFill="1" applyBorder="1" applyAlignment="1">
      <alignment horizontal="left" vertical="top" wrapText="1"/>
    </xf>
    <xf numFmtId="0" fontId="40" fillId="0" borderId="15" xfId="0" applyFont="1" applyBorder="1" applyAlignment="1">
      <alignment horizontal="left" vertical="top" wrapText="1"/>
    </xf>
    <xf numFmtId="0" fontId="40" fillId="0" borderId="16" xfId="0" applyFont="1" applyBorder="1" applyAlignment="1">
      <alignment horizontal="left" vertical="top" wrapText="1"/>
    </xf>
    <xf numFmtId="0" fontId="40" fillId="0" borderId="17" xfId="0" applyFont="1" applyBorder="1" applyAlignment="1">
      <alignment horizontal="left" vertical="top" wrapText="1"/>
    </xf>
    <xf numFmtId="0" fontId="40" fillId="7" borderId="19" xfId="0" applyFont="1" applyFill="1" applyBorder="1" applyAlignment="1">
      <alignment horizontal="left" vertical="top" wrapText="1"/>
    </xf>
    <xf numFmtId="0" fontId="5" fillId="0" borderId="8" xfId="0" applyFont="1" applyBorder="1" applyAlignment="1">
      <alignment horizontal="left" vertical="top" wrapText="1"/>
    </xf>
    <xf numFmtId="0" fontId="4" fillId="0" borderId="8" xfId="0" applyFont="1" applyBorder="1" applyAlignment="1">
      <alignment horizontal="left" vertical="top" wrapText="1"/>
    </xf>
    <xf numFmtId="0" fontId="0" fillId="11" borderId="8" xfId="0" applyFill="1" applyBorder="1" applyAlignment="1">
      <alignment horizontal="left" vertical="top" wrapText="1"/>
    </xf>
    <xf numFmtId="0" fontId="5" fillId="7" borderId="8" xfId="0" applyFont="1" applyFill="1" applyBorder="1" applyAlignment="1">
      <alignment horizontal="left" vertical="top" wrapText="1"/>
    </xf>
    <xf numFmtId="0" fontId="5" fillId="8" borderId="8" xfId="0" applyFont="1" applyFill="1" applyBorder="1" applyAlignment="1">
      <alignment horizontal="left" vertical="top" wrapText="1"/>
    </xf>
    <xf numFmtId="0" fontId="0" fillId="0" borderId="8" xfId="0" applyFont="1" applyBorder="1" applyAlignment="1">
      <alignment horizontal="left" vertical="top" wrapText="1"/>
    </xf>
    <xf numFmtId="0" fontId="0" fillId="0" borderId="24" xfId="0" applyFont="1" applyBorder="1" applyAlignment="1">
      <alignment horizontal="left" vertical="top" wrapText="1"/>
    </xf>
    <xf numFmtId="0" fontId="0" fillId="0" borderId="25" xfId="0" applyFont="1" applyBorder="1" applyAlignment="1">
      <alignment horizontal="left" vertical="top" wrapText="1"/>
    </xf>
    <xf numFmtId="0" fontId="0" fillId="0" borderId="8" xfId="0" applyFont="1" applyBorder="1" applyAlignment="1">
      <alignment horizontal="left" vertical="top"/>
    </xf>
    <xf numFmtId="165" fontId="0" fillId="10" borderId="8" xfId="0" applyNumberFormat="1" applyFont="1" applyFill="1" applyBorder="1" applyAlignment="1">
      <alignment horizontal="left" vertical="top"/>
    </xf>
    <xf numFmtId="0" fontId="0" fillId="0" borderId="8" xfId="0" applyBorder="1" applyAlignment="1">
      <alignment horizontal="left" vertical="top"/>
    </xf>
    <xf numFmtId="0" fontId="0" fillId="11" borderId="8" xfId="0" applyFill="1" applyBorder="1" applyAlignment="1">
      <alignment horizontal="left" vertical="top"/>
    </xf>
    <xf numFmtId="0" fontId="0" fillId="0" borderId="24" xfId="0" applyBorder="1" applyAlignment="1">
      <alignment horizontal="left" vertical="top" wrapText="1"/>
    </xf>
    <xf numFmtId="0" fontId="0" fillId="0" borderId="28" xfId="0" applyBorder="1" applyAlignment="1">
      <alignment horizontal="left" vertical="top" wrapText="1"/>
    </xf>
    <xf numFmtId="0" fontId="0" fillId="0" borderId="25" xfId="0" applyBorder="1" applyAlignment="1">
      <alignment horizontal="left" vertical="top" wrapText="1"/>
    </xf>
    <xf numFmtId="0" fontId="4" fillId="0" borderId="8" xfId="0" applyFont="1" applyBorder="1" applyAlignment="1">
      <alignment horizontal="center" vertical="center" wrapText="1"/>
    </xf>
    <xf numFmtId="0" fontId="0" fillId="6" borderId="24" xfId="0" applyFont="1" applyFill="1" applyBorder="1" applyAlignment="1">
      <alignment horizontal="left" vertical="center"/>
    </xf>
    <xf numFmtId="0" fontId="0" fillId="6" borderId="25" xfId="0" applyFont="1" applyFill="1" applyBorder="1" applyAlignment="1">
      <alignment horizontal="left" vertical="center"/>
    </xf>
    <xf numFmtId="0" fontId="0" fillId="0" borderId="8" xfId="0" applyFont="1" applyBorder="1" applyAlignment="1">
      <alignment horizontal="left" vertical="center"/>
    </xf>
    <xf numFmtId="1" fontId="0" fillId="6" borderId="8" xfId="0" applyNumberFormat="1" applyFont="1" applyFill="1" applyBorder="1" applyAlignment="1">
      <alignment horizontal="left" vertical="center"/>
    </xf>
    <xf numFmtId="0" fontId="0" fillId="0" borderId="24" xfId="0" applyFont="1" applyBorder="1" applyAlignment="1">
      <alignment horizontal="left" vertical="center"/>
    </xf>
    <xf numFmtId="0" fontId="0" fillId="0" borderId="25" xfId="0" applyFont="1" applyBorder="1" applyAlignment="1">
      <alignment horizontal="left" vertical="center"/>
    </xf>
    <xf numFmtId="0" fontId="0" fillId="0" borderId="24" xfId="0" applyNumberFormat="1" applyFill="1" applyBorder="1" applyAlignment="1">
      <alignment horizontal="left" vertical="center"/>
    </xf>
    <xf numFmtId="0" fontId="0" fillId="0" borderId="25" xfId="0" applyNumberFormat="1" applyFill="1" applyBorder="1" applyAlignment="1">
      <alignment horizontal="left" vertical="center"/>
    </xf>
    <xf numFmtId="0" fontId="0" fillId="0" borderId="24" xfId="0" applyFont="1" applyFill="1" applyBorder="1" applyAlignment="1">
      <alignment horizontal="left" vertical="center"/>
    </xf>
    <xf numFmtId="0" fontId="0" fillId="0" borderId="25" xfId="0" applyFont="1" applyFill="1" applyBorder="1" applyAlignment="1">
      <alignment horizontal="left" vertical="center"/>
    </xf>
    <xf numFmtId="0" fontId="0" fillId="0" borderId="8" xfId="0" applyFont="1" applyFill="1" applyBorder="1" applyAlignment="1">
      <alignment horizontal="left" vertical="center"/>
    </xf>
    <xf numFmtId="0" fontId="0" fillId="0" borderId="24" xfId="0" applyFill="1" applyBorder="1" applyAlignment="1">
      <alignment horizontal="left" vertical="center"/>
    </xf>
    <xf numFmtId="0" fontId="0" fillId="0" borderId="25" xfId="0" applyFill="1" applyBorder="1" applyAlignment="1">
      <alignment horizontal="left" vertical="center"/>
    </xf>
    <xf numFmtId="0" fontId="0" fillId="10" borderId="24" xfId="0" applyFont="1" applyFill="1" applyBorder="1" applyAlignment="1">
      <alignment horizontal="center" vertical="center"/>
    </xf>
    <xf numFmtId="0" fontId="0" fillId="10" borderId="25" xfId="0" applyFont="1" applyFill="1" applyBorder="1" applyAlignment="1">
      <alignment horizontal="center" vertical="center"/>
    </xf>
    <xf numFmtId="1" fontId="0" fillId="5" borderId="24" xfId="0" applyNumberFormat="1" applyFont="1" applyFill="1" applyBorder="1" applyAlignment="1">
      <alignment horizontal="center" vertical="center"/>
    </xf>
    <xf numFmtId="1" fontId="0" fillId="5" borderId="25" xfId="0" applyNumberFormat="1" applyFont="1" applyFill="1" applyBorder="1" applyAlignment="1">
      <alignment horizontal="center" vertical="center"/>
    </xf>
    <xf numFmtId="1" fontId="0" fillId="10" borderId="24" xfId="0" applyNumberFormat="1" applyFont="1" applyFill="1" applyBorder="1" applyAlignment="1">
      <alignment horizontal="center" vertical="center"/>
    </xf>
    <xf numFmtId="1" fontId="0" fillId="10" borderId="25" xfId="0" applyNumberFormat="1" applyFont="1" applyFill="1" applyBorder="1" applyAlignment="1">
      <alignment horizontal="center" vertical="center"/>
    </xf>
    <xf numFmtId="0" fontId="0" fillId="5" borderId="24" xfId="0" applyFont="1" applyFill="1" applyBorder="1" applyAlignment="1">
      <alignment horizontal="center" vertical="center"/>
    </xf>
    <xf numFmtId="0" fontId="0" fillId="5" borderId="25" xfId="0" applyFont="1" applyFill="1" applyBorder="1" applyAlignment="1">
      <alignment horizontal="center" vertical="center"/>
    </xf>
    <xf numFmtId="165" fontId="0" fillId="5" borderId="24" xfId="0" applyNumberFormat="1" applyFont="1" applyFill="1" applyBorder="1" applyAlignment="1">
      <alignment horizontal="left" vertical="center"/>
    </xf>
    <xf numFmtId="165" fontId="0" fillId="5" borderId="25" xfId="0" applyNumberFormat="1" applyFont="1" applyFill="1" applyBorder="1" applyAlignment="1">
      <alignment horizontal="left" vertical="center"/>
    </xf>
    <xf numFmtId="165" fontId="0" fillId="10" borderId="24" xfId="0" applyNumberFormat="1" applyFont="1" applyFill="1" applyBorder="1" applyAlignment="1">
      <alignment horizontal="center" vertical="center"/>
    </xf>
    <xf numFmtId="165" fontId="0" fillId="10" borderId="25" xfId="0" applyNumberFormat="1" applyFont="1" applyFill="1" applyBorder="1" applyAlignment="1">
      <alignment horizontal="center" vertical="center"/>
    </xf>
    <xf numFmtId="1" fontId="0" fillId="10" borderId="24" xfId="0" applyNumberFormat="1" applyFont="1" applyFill="1" applyBorder="1" applyAlignment="1">
      <alignment horizontal="left" vertical="center"/>
    </xf>
    <xf numFmtId="1" fontId="0" fillId="10" borderId="25" xfId="0" applyNumberFormat="1" applyFont="1" applyFill="1" applyBorder="1" applyAlignment="1">
      <alignment horizontal="left" vertical="center"/>
    </xf>
    <xf numFmtId="1" fontId="0" fillId="0" borderId="24" xfId="2" applyNumberFormat="1" applyFont="1" applyFill="1" applyBorder="1" applyAlignment="1">
      <alignment horizontal="left" vertical="center"/>
    </xf>
    <xf numFmtId="1" fontId="0" fillId="0" borderId="25" xfId="2" applyNumberFormat="1" applyFont="1" applyFill="1" applyBorder="1" applyAlignment="1">
      <alignment horizontal="left" vertical="center"/>
    </xf>
    <xf numFmtId="165" fontId="0" fillId="6" borderId="24" xfId="0" applyNumberFormat="1" applyFont="1" applyFill="1" applyBorder="1" applyAlignment="1">
      <alignment horizontal="center" vertical="center" wrapText="1"/>
    </xf>
    <xf numFmtId="165" fontId="0" fillId="6" borderId="25" xfId="0" applyNumberFormat="1" applyFont="1" applyFill="1" applyBorder="1" applyAlignment="1">
      <alignment horizontal="center" vertical="center" wrapText="1"/>
    </xf>
    <xf numFmtId="0" fontId="9" fillId="5" borderId="24" xfId="0" applyFont="1" applyFill="1" applyBorder="1" applyAlignment="1">
      <alignment horizontal="center" vertical="center"/>
    </xf>
    <xf numFmtId="0" fontId="9" fillId="5" borderId="25" xfId="0" applyFont="1" applyFill="1" applyBorder="1" applyAlignment="1">
      <alignment horizontal="center" vertical="center"/>
    </xf>
    <xf numFmtId="0" fontId="0" fillId="12" borderId="24" xfId="0" applyFill="1" applyBorder="1" applyAlignment="1">
      <alignment horizontal="left" vertical="center" wrapText="1"/>
    </xf>
    <xf numFmtId="0" fontId="0" fillId="12" borderId="25" xfId="0" applyFill="1"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24" xfId="0" applyBorder="1" applyAlignment="1">
      <alignment horizontal="left" vertical="center"/>
    </xf>
    <xf numFmtId="0" fontId="0" fillId="0" borderId="25" xfId="0" applyBorder="1" applyAlignment="1">
      <alignment horizontal="left" vertical="center"/>
    </xf>
    <xf numFmtId="1" fontId="0" fillId="0" borderId="24" xfId="0" applyNumberFormat="1" applyFill="1" applyBorder="1" applyAlignment="1">
      <alignment horizontal="left" vertical="center"/>
    </xf>
    <xf numFmtId="1" fontId="0" fillId="0" borderId="25" xfId="0" applyNumberFormat="1" applyFill="1" applyBorder="1" applyAlignment="1">
      <alignment horizontal="left" vertical="center"/>
    </xf>
    <xf numFmtId="0" fontId="0" fillId="0" borderId="24" xfId="0" applyFill="1" applyBorder="1" applyAlignment="1">
      <alignment horizontal="left" vertical="center" wrapText="1"/>
    </xf>
    <xf numFmtId="0" fontId="0" fillId="0" borderId="25" xfId="0" applyFill="1" applyBorder="1" applyAlignment="1">
      <alignment horizontal="left" vertical="center" wrapText="1"/>
    </xf>
    <xf numFmtId="0" fontId="0" fillId="0" borderId="24" xfId="0" applyNumberFormat="1" applyBorder="1" applyAlignment="1">
      <alignment horizontal="left" vertical="center"/>
    </xf>
    <xf numFmtId="0" fontId="0" fillId="0" borderId="25" xfId="0" applyNumberFormat="1" applyBorder="1" applyAlignment="1">
      <alignment horizontal="left" vertical="center"/>
    </xf>
    <xf numFmtId="0" fontId="18" fillId="11" borderId="24" xfId="0" applyFont="1" applyFill="1" applyBorder="1" applyAlignment="1">
      <alignment horizontal="left" vertical="center" wrapText="1"/>
    </xf>
    <xf numFmtId="0" fontId="18" fillId="11" borderId="25" xfId="0" applyFont="1" applyFill="1" applyBorder="1" applyAlignment="1">
      <alignment horizontal="left" vertical="center" wrapText="1"/>
    </xf>
    <xf numFmtId="0" fontId="19" fillId="0" borderId="25" xfId="0" applyFont="1" applyBorder="1" applyAlignment="1">
      <alignment horizontal="left" vertical="center" wrapText="1"/>
    </xf>
    <xf numFmtId="0" fontId="9" fillId="12" borderId="24" xfId="0" applyFont="1" applyFill="1" applyBorder="1" applyAlignment="1">
      <alignment horizontal="left" vertical="center" wrapText="1"/>
    </xf>
    <xf numFmtId="1" fontId="0" fillId="0" borderId="24" xfId="0" applyNumberFormat="1" applyBorder="1" applyAlignment="1">
      <alignment horizontal="left" vertical="center"/>
    </xf>
    <xf numFmtId="1" fontId="0" fillId="0" borderId="25" xfId="0" applyNumberFormat="1" applyBorder="1" applyAlignment="1">
      <alignment horizontal="left" vertical="center"/>
    </xf>
    <xf numFmtId="0" fontId="0" fillId="0" borderId="8" xfId="0" applyBorder="1" applyAlignment="1">
      <alignment horizontal="left" vertical="center"/>
    </xf>
    <xf numFmtId="0" fontId="5" fillId="7" borderId="8" xfId="0" applyFont="1" applyFill="1" applyBorder="1" applyAlignment="1">
      <alignment horizontal="center" vertical="center" wrapText="1"/>
    </xf>
    <xf numFmtId="0" fontId="5" fillId="7" borderId="13"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24" xfId="0" applyFont="1" applyBorder="1" applyAlignment="1">
      <alignment horizontal="center" vertical="center" wrapText="1"/>
    </xf>
    <xf numFmtId="0" fontId="0" fillId="11" borderId="24" xfId="0" applyFill="1" applyBorder="1" applyAlignment="1">
      <alignment horizontal="center" vertical="center" wrapText="1"/>
    </xf>
    <xf numFmtId="0" fontId="0" fillId="11" borderId="25" xfId="0" applyFill="1" applyBorder="1" applyAlignment="1">
      <alignment horizontal="center" vertical="center" wrapText="1"/>
    </xf>
    <xf numFmtId="0" fontId="5" fillId="7" borderId="29" xfId="0" applyFont="1" applyFill="1" applyBorder="1" applyAlignment="1">
      <alignment horizontal="center" vertical="center" wrapText="1"/>
    </xf>
    <xf numFmtId="0" fontId="5" fillId="7" borderId="30" xfId="0" applyFont="1" applyFill="1" applyBorder="1" applyAlignment="1">
      <alignment horizontal="center" vertical="center" wrapText="1"/>
    </xf>
    <xf numFmtId="0" fontId="5" fillId="8" borderId="8" xfId="0" applyFont="1" applyFill="1" applyBorder="1" applyAlignment="1">
      <alignment horizontal="center" vertical="center" wrapText="1"/>
    </xf>
    <xf numFmtId="0" fontId="0" fillId="11" borderId="8" xfId="0" applyFont="1" applyFill="1" applyBorder="1" applyAlignment="1">
      <alignment horizontal="center" vertical="center" wrapText="1"/>
    </xf>
    <xf numFmtId="0" fontId="27" fillId="0" borderId="8" xfId="0" applyFont="1" applyBorder="1" applyAlignment="1">
      <alignment horizontal="left" vertical="top" wrapText="1"/>
    </xf>
    <xf numFmtId="0" fontId="28" fillId="7" borderId="8" xfId="0" applyFont="1" applyFill="1" applyBorder="1" applyAlignment="1">
      <alignment horizontal="left" vertical="top" wrapText="1"/>
    </xf>
    <xf numFmtId="0" fontId="28" fillId="0" borderId="8" xfId="0" applyFont="1" applyBorder="1" applyAlignment="1">
      <alignment horizontal="left" vertical="top" wrapText="1"/>
    </xf>
    <xf numFmtId="0" fontId="28" fillId="8" borderId="8" xfId="0" applyFont="1" applyFill="1" applyBorder="1" applyAlignment="1">
      <alignment horizontal="left" vertical="top" wrapText="1"/>
    </xf>
    <xf numFmtId="0" fontId="27" fillId="11" borderId="8" xfId="0" applyFont="1" applyFill="1" applyBorder="1" applyAlignment="1">
      <alignment horizontal="left" vertical="top"/>
    </xf>
    <xf numFmtId="0" fontId="48" fillId="0" borderId="8" xfId="12" applyFont="1" applyBorder="1" applyAlignment="1">
      <alignment horizontal="left" vertical="top" wrapText="1"/>
    </xf>
    <xf numFmtId="0" fontId="5" fillId="11" borderId="8" xfId="0" applyFont="1" applyFill="1" applyBorder="1" applyAlignment="1">
      <alignment horizontal="left" vertical="top"/>
    </xf>
    <xf numFmtId="0" fontId="28" fillId="11" borderId="8" xfId="0" applyFont="1" applyFill="1" applyBorder="1" applyAlignment="1">
      <alignment horizontal="left" vertical="top"/>
    </xf>
    <xf numFmtId="0" fontId="26" fillId="0" borderId="8" xfId="0" applyFont="1" applyBorder="1" applyAlignment="1">
      <alignment horizontal="left" vertical="center" wrapText="1"/>
    </xf>
    <xf numFmtId="0" fontId="44" fillId="11" borderId="24" xfId="0" applyFont="1" applyFill="1" applyBorder="1" applyAlignment="1">
      <alignment horizontal="left" vertical="top"/>
    </xf>
    <xf numFmtId="0" fontId="44" fillId="11" borderId="25" xfId="0" applyFont="1" applyFill="1" applyBorder="1" applyAlignment="1">
      <alignment horizontal="left" vertical="top"/>
    </xf>
    <xf numFmtId="0" fontId="44" fillId="7" borderId="8" xfId="0" applyFont="1" applyFill="1" applyBorder="1" applyAlignment="1">
      <alignment horizontal="left" vertical="top" wrapText="1"/>
    </xf>
    <xf numFmtId="0" fontId="44" fillId="0" borderId="8" xfId="0" applyFont="1" applyBorder="1" applyAlignment="1">
      <alignment horizontal="left" vertical="top" wrapText="1"/>
    </xf>
    <xf numFmtId="0" fontId="44" fillId="11" borderId="8" xfId="0" applyFont="1" applyFill="1" applyBorder="1" applyAlignment="1">
      <alignment horizontal="left" vertical="top"/>
    </xf>
    <xf numFmtId="0" fontId="44" fillId="7" borderId="29" xfId="0" applyFont="1" applyFill="1" applyBorder="1" applyAlignment="1">
      <alignment horizontal="left" vertical="top" wrapText="1"/>
    </xf>
    <xf numFmtId="0" fontId="44" fillId="7" borderId="30" xfId="0" applyFont="1" applyFill="1" applyBorder="1" applyAlignment="1">
      <alignment horizontal="left" vertical="top" wrapText="1"/>
    </xf>
    <xf numFmtId="0" fontId="44" fillId="8" borderId="8" xfId="0" applyFont="1" applyFill="1" applyBorder="1" applyAlignment="1">
      <alignment horizontal="left" vertical="top" wrapText="1"/>
    </xf>
    <xf numFmtId="0" fontId="28" fillId="7" borderId="8" xfId="0" applyFont="1" applyFill="1" applyBorder="1" applyAlignment="1">
      <alignment horizontal="center" vertical="top" wrapText="1"/>
    </xf>
    <xf numFmtId="0" fontId="28" fillId="0" borderId="8" xfId="0" applyFont="1" applyBorder="1" applyAlignment="1">
      <alignment horizontal="center" vertical="top" wrapText="1"/>
    </xf>
    <xf numFmtId="0" fontId="28" fillId="8" borderId="8" xfId="0" applyFont="1" applyFill="1" applyBorder="1" applyAlignment="1">
      <alignment horizontal="center" vertical="top" wrapText="1"/>
    </xf>
    <xf numFmtId="0" fontId="0" fillId="0" borderId="8" xfId="0" applyFont="1" applyBorder="1" applyAlignment="1">
      <alignment horizontal="center" wrapText="1"/>
    </xf>
    <xf numFmtId="0" fontId="4" fillId="0" borderId="0" xfId="0" applyFont="1" applyFill="1" applyAlignment="1"/>
    <xf numFmtId="0" fontId="4" fillId="0" borderId="8" xfId="0" applyFont="1" applyFill="1" applyBorder="1" applyAlignment="1">
      <alignment horizontal="center" vertical="center" wrapText="1"/>
    </xf>
    <xf numFmtId="0" fontId="4" fillId="0" borderId="8" xfId="0" applyFont="1" applyFill="1" applyBorder="1" applyAlignment="1">
      <alignment horizontal="left" vertical="center" wrapText="1"/>
    </xf>
    <xf numFmtId="0" fontId="8" fillId="0" borderId="8" xfId="0" applyFont="1" applyFill="1" applyBorder="1" applyAlignment="1">
      <alignment horizontal="left" vertical="center" wrapText="1"/>
    </xf>
    <xf numFmtId="0" fontId="9" fillId="0" borderId="25" xfId="0" applyFont="1" applyBorder="1" applyAlignment="1">
      <alignment horizontal="left" vertical="top" wrapText="1"/>
    </xf>
    <xf numFmtId="0" fontId="27" fillId="0" borderId="8" xfId="0" applyFont="1" applyFill="1" applyBorder="1" applyAlignment="1">
      <alignment horizontal="left" vertical="top"/>
    </xf>
    <xf numFmtId="0" fontId="11" fillId="0" borderId="8" xfId="0" applyFont="1" applyFill="1" applyBorder="1" applyAlignment="1">
      <alignment horizontal="left" vertical="top"/>
    </xf>
    <xf numFmtId="1" fontId="39" fillId="5" borderId="8" xfId="0" applyNumberFormat="1" applyFont="1" applyFill="1" applyBorder="1" applyAlignment="1">
      <alignment horizontal="left" vertical="top" wrapText="1"/>
    </xf>
    <xf numFmtId="0" fontId="27" fillId="0" borderId="7" xfId="0" applyFont="1" applyBorder="1" applyAlignment="1">
      <alignment horizontal="left" vertical="top"/>
    </xf>
    <xf numFmtId="0" fontId="27" fillId="11" borderId="29" xfId="0" applyFont="1" applyFill="1" applyBorder="1" applyAlignment="1">
      <alignment horizontal="left" vertical="top"/>
    </xf>
    <xf numFmtId="0" fontId="27" fillId="11" borderId="8" xfId="0" applyFont="1" applyFill="1" applyBorder="1" applyAlignment="1">
      <alignment horizontal="left" vertical="top" wrapText="1"/>
    </xf>
    <xf numFmtId="0" fontId="9" fillId="17" borderId="8" xfId="0" applyFont="1" applyFill="1" applyBorder="1" applyAlignment="1">
      <alignment horizontal="left" vertical="top"/>
    </xf>
    <xf numFmtId="1" fontId="9" fillId="6" borderId="8" xfId="1" applyNumberFormat="1" applyFont="1" applyFill="1" applyBorder="1" applyAlignment="1">
      <alignment horizontal="left" vertical="top"/>
    </xf>
    <xf numFmtId="1" fontId="9" fillId="10" borderId="8" xfId="0" applyNumberFormat="1" applyFont="1" applyFill="1" applyBorder="1" applyAlignment="1">
      <alignment horizontal="left" vertical="top" wrapText="1"/>
    </xf>
    <xf numFmtId="1" fontId="4" fillId="6" borderId="8" xfId="1" applyNumberFormat="1" applyFont="1" applyFill="1" applyBorder="1" applyAlignment="1">
      <alignment horizontal="left" vertical="top"/>
    </xf>
    <xf numFmtId="0" fontId="11" fillId="0" borderId="7" xfId="0" applyFont="1" applyFill="1" applyBorder="1" applyAlignment="1">
      <alignment horizontal="left" vertical="top"/>
    </xf>
    <xf numFmtId="0" fontId="5" fillId="0" borderId="29" xfId="0" applyFont="1" applyBorder="1" applyAlignment="1">
      <alignment horizontal="left" vertical="top" wrapText="1"/>
    </xf>
    <xf numFmtId="1" fontId="0" fillId="5" borderId="29" xfId="0" applyNumberFormat="1" applyFont="1" applyFill="1" applyBorder="1" applyAlignment="1">
      <alignment horizontal="left" vertical="top"/>
    </xf>
    <xf numFmtId="1" fontId="0" fillId="6" borderId="29" xfId="0" applyNumberFormat="1" applyFont="1" applyFill="1" applyBorder="1" applyAlignment="1">
      <alignment horizontal="left" vertical="top"/>
    </xf>
    <xf numFmtId="1" fontId="0" fillId="10" borderId="29" xfId="0" applyNumberFormat="1" applyFont="1" applyFill="1" applyBorder="1" applyAlignment="1">
      <alignment horizontal="left" vertical="top"/>
    </xf>
    <xf numFmtId="9" fontId="36" fillId="5" borderId="29" xfId="0" applyNumberFormat="1" applyFont="1" applyFill="1" applyBorder="1" applyAlignment="1">
      <alignment horizontal="left" vertical="top"/>
    </xf>
    <xf numFmtId="0" fontId="0" fillId="19" borderId="8" xfId="0" applyFill="1" applyBorder="1" applyAlignment="1">
      <alignment horizontal="left" vertical="top" wrapText="1"/>
    </xf>
    <xf numFmtId="0" fontId="36" fillId="0" borderId="8" xfId="0" applyFont="1" applyBorder="1" applyAlignment="1">
      <alignment horizontal="left" vertical="top"/>
    </xf>
    <xf numFmtId="0" fontId="0" fillId="0" borderId="29" xfId="0" applyBorder="1" applyAlignment="1">
      <alignment wrapText="1"/>
    </xf>
    <xf numFmtId="0" fontId="0" fillId="0" borderId="32" xfId="0" applyBorder="1" applyAlignment="1">
      <alignment horizontal="center" wrapText="1"/>
    </xf>
    <xf numFmtId="0" fontId="0" fillId="0" borderId="33" xfId="0" applyBorder="1" applyAlignment="1">
      <alignment horizontal="center" wrapText="1"/>
    </xf>
    <xf numFmtId="0" fontId="0" fillId="0" borderId="29" xfId="0" applyBorder="1" applyAlignment="1">
      <alignment vertical="top" wrapText="1"/>
    </xf>
    <xf numFmtId="0" fontId="0" fillId="0" borderId="32" xfId="0" applyBorder="1" applyAlignment="1">
      <alignment horizontal="center"/>
    </xf>
    <xf numFmtId="0" fontId="0" fillId="0" borderId="33" xfId="0" applyBorder="1" applyAlignment="1">
      <alignment horizontal="center"/>
    </xf>
    <xf numFmtId="0" fontId="0" fillId="0" borderId="29" xfId="0" applyBorder="1"/>
    <xf numFmtId="0" fontId="0" fillId="0" borderId="32" xfId="0" applyBorder="1" applyAlignment="1">
      <alignment wrapText="1"/>
    </xf>
    <xf numFmtId="0" fontId="0" fillId="0" borderId="7" xfId="0" applyFont="1" applyBorder="1" applyAlignment="1"/>
    <xf numFmtId="0" fontId="0" fillId="19" borderId="7" xfId="0" applyFont="1" applyFill="1" applyBorder="1" applyAlignment="1"/>
    <xf numFmtId="0" fontId="0" fillId="0" borderId="30" xfId="0" applyFill="1" applyBorder="1" applyAlignment="1">
      <alignment vertical="center" wrapText="1"/>
    </xf>
    <xf numFmtId="0" fontId="0" fillId="0" borderId="8" xfId="0" applyFont="1" applyBorder="1" applyAlignment="1"/>
    <xf numFmtId="0" fontId="0" fillId="19" borderId="8" xfId="0" applyFont="1" applyFill="1" applyBorder="1" applyAlignment="1"/>
    <xf numFmtId="0" fontId="9" fillId="0" borderId="0" xfId="0" applyFont="1" applyAlignment="1"/>
    <xf numFmtId="1" fontId="4" fillId="10" borderId="8" xfId="0" applyNumberFormat="1" applyFont="1" applyFill="1" applyBorder="1" applyAlignment="1">
      <alignment horizontal="left" vertical="top"/>
    </xf>
    <xf numFmtId="0" fontId="41" fillId="19" borderId="8" xfId="0" applyFont="1" applyFill="1" applyBorder="1" applyAlignment="1">
      <alignment horizontal="left" vertical="top"/>
    </xf>
    <xf numFmtId="0" fontId="46" fillId="19" borderId="8" xfId="0" applyFont="1" applyFill="1" applyBorder="1" applyAlignment="1">
      <alignment horizontal="left" vertical="top" wrapText="1"/>
    </xf>
    <xf numFmtId="0" fontId="41" fillId="19" borderId="8" xfId="23" applyFont="1" applyFill="1" applyBorder="1" applyAlignment="1">
      <alignment horizontal="left" vertical="top"/>
    </xf>
    <xf numFmtId="0" fontId="26" fillId="19" borderId="8" xfId="0" applyFont="1" applyFill="1" applyBorder="1" applyAlignment="1">
      <alignment horizontal="left" vertical="top"/>
    </xf>
    <xf numFmtId="1" fontId="26" fillId="19" borderId="8" xfId="0" applyNumberFormat="1" applyFont="1" applyFill="1" applyBorder="1" applyAlignment="1">
      <alignment horizontal="left" vertical="top"/>
    </xf>
    <xf numFmtId="0" fontId="41" fillId="19" borderId="8" xfId="23" applyFont="1" applyFill="1" applyBorder="1" applyAlignment="1">
      <alignment horizontal="left" vertical="top" wrapText="1"/>
    </xf>
    <xf numFmtId="0" fontId="46" fillId="10" borderId="8" xfId="0" applyFont="1" applyFill="1" applyBorder="1" applyAlignment="1">
      <alignment horizontal="left" vertical="top" wrapText="1"/>
    </xf>
    <xf numFmtId="0" fontId="26" fillId="0" borderId="0" xfId="0" applyFont="1" applyFill="1" applyAlignment="1">
      <alignment horizontal="left" vertical="top"/>
    </xf>
    <xf numFmtId="0" fontId="11" fillId="0" borderId="8" xfId="23" applyFont="1" applyFill="1" applyBorder="1" applyAlignment="1">
      <alignment horizontal="left" vertical="top" wrapText="1"/>
    </xf>
    <xf numFmtId="0" fontId="13" fillId="0" borderId="8" xfId="23" applyFont="1" applyFill="1" applyBorder="1" applyAlignment="1">
      <alignment horizontal="left" vertical="center" wrapText="1"/>
    </xf>
    <xf numFmtId="0" fontId="11" fillId="0" borderId="8" xfId="23" applyFont="1" applyFill="1" applyBorder="1" applyAlignment="1">
      <alignment horizontal="left" vertical="center" wrapText="1"/>
    </xf>
    <xf numFmtId="0" fontId="41" fillId="0" borderId="8" xfId="23" applyFont="1" applyFill="1" applyBorder="1" applyAlignment="1">
      <alignment horizontal="left" vertical="top"/>
    </xf>
    <xf numFmtId="0" fontId="41" fillId="0" borderId="8" xfId="0" applyFont="1" applyFill="1" applyBorder="1" applyAlignment="1">
      <alignment horizontal="left" vertical="top"/>
    </xf>
    <xf numFmtId="1" fontId="26" fillId="0" borderId="8" xfId="0" applyNumberFormat="1" applyFont="1" applyFill="1" applyBorder="1" applyAlignment="1">
      <alignment horizontal="left" vertical="top"/>
    </xf>
    <xf numFmtId="0" fontId="41" fillId="0" borderId="7" xfId="0" applyFont="1" applyFill="1" applyBorder="1" applyAlignment="1">
      <alignment horizontal="left" vertical="top"/>
    </xf>
    <xf numFmtId="0" fontId="46" fillId="0" borderId="7" xfId="0" applyFont="1" applyFill="1" applyBorder="1" applyAlignment="1">
      <alignment horizontal="left" vertical="top" wrapText="1"/>
    </xf>
    <xf numFmtId="0" fontId="41" fillId="0" borderId="7" xfId="23" applyFont="1" applyFill="1" applyBorder="1" applyAlignment="1">
      <alignment horizontal="left" vertical="top"/>
    </xf>
    <xf numFmtId="0" fontId="26" fillId="0" borderId="7" xfId="0" applyFont="1" applyFill="1" applyBorder="1" applyAlignment="1">
      <alignment horizontal="left" vertical="top"/>
    </xf>
    <xf numFmtId="1" fontId="26" fillId="0" borderId="7" xfId="0" applyNumberFormat="1" applyFont="1" applyFill="1" applyBorder="1" applyAlignment="1">
      <alignment horizontal="left" vertical="top"/>
    </xf>
    <xf numFmtId="1" fontId="26" fillId="5" borderId="8" xfId="0" applyNumberFormat="1" applyFont="1" applyFill="1" applyBorder="1" applyAlignment="1">
      <alignment vertical="top" wrapText="1"/>
    </xf>
    <xf numFmtId="164" fontId="26" fillId="6" borderId="8" xfId="1" applyFont="1" applyFill="1" applyBorder="1" applyAlignment="1">
      <alignment vertical="top" wrapText="1"/>
    </xf>
    <xf numFmtId="165" fontId="26" fillId="10" borderId="8" xfId="0" applyNumberFormat="1" applyFont="1" applyFill="1" applyBorder="1" applyAlignment="1">
      <alignment vertical="top"/>
    </xf>
    <xf numFmtId="0" fontId="27" fillId="0" borderId="29" xfId="0" applyFont="1" applyBorder="1" applyAlignment="1">
      <alignment horizontal="center" vertical="top" wrapText="1"/>
    </xf>
    <xf numFmtId="0" fontId="27" fillId="0" borderId="34" xfId="0" applyFont="1" applyBorder="1" applyAlignment="1">
      <alignment horizontal="center" vertical="top" wrapText="1"/>
    </xf>
    <xf numFmtId="0" fontId="27" fillId="0" borderId="30" xfId="0" applyFont="1" applyBorder="1" applyAlignment="1">
      <alignment horizontal="center" vertical="top" wrapText="1"/>
    </xf>
    <xf numFmtId="0" fontId="29" fillId="11" borderId="8" xfId="0" applyFont="1" applyFill="1" applyBorder="1" applyAlignment="1">
      <alignment vertical="top" wrapText="1"/>
    </xf>
    <xf numFmtId="0" fontId="30" fillId="0" borderId="8" xfId="0" applyFont="1" applyBorder="1" applyAlignment="1">
      <alignment horizontal="left" vertical="top" wrapText="1"/>
    </xf>
    <xf numFmtId="0" fontId="33" fillId="0" borderId="8" xfId="0" applyFont="1" applyBorder="1" applyAlignment="1">
      <alignment horizontal="left" vertical="top" wrapText="1"/>
    </xf>
    <xf numFmtId="0" fontId="32" fillId="0" borderId="8" xfId="0" applyFont="1" applyBorder="1" applyAlignment="1">
      <alignment horizontal="left" vertical="top" wrapText="1"/>
    </xf>
    <xf numFmtId="0" fontId="27" fillId="0" borderId="0" xfId="0" applyFont="1" applyFill="1" applyAlignment="1">
      <alignment horizontal="left" vertical="top" wrapText="1"/>
    </xf>
    <xf numFmtId="9" fontId="0" fillId="0" borderId="8" xfId="2" applyFont="1" applyFill="1" applyBorder="1" applyAlignment="1">
      <alignment horizontal="left" vertical="top"/>
    </xf>
    <xf numFmtId="0" fontId="0" fillId="0" borderId="7" xfId="0" applyFont="1" applyBorder="1" applyAlignment="1">
      <alignment wrapText="1"/>
    </xf>
    <xf numFmtId="0" fontId="9" fillId="0" borderId="8" xfId="0" applyFont="1" applyBorder="1" applyAlignment="1">
      <alignment wrapText="1"/>
    </xf>
    <xf numFmtId="1" fontId="27" fillId="6" borderId="8" xfId="1" applyNumberFormat="1" applyFont="1" applyFill="1" applyBorder="1" applyAlignment="1">
      <alignment horizontal="left" vertical="top"/>
    </xf>
    <xf numFmtId="0" fontId="0" fillId="5" borderId="8" xfId="0" applyFont="1" applyFill="1" applyBorder="1" applyAlignment="1">
      <alignment horizontal="center"/>
    </xf>
    <xf numFmtId="0" fontId="0" fillId="6" borderId="8" xfId="0" applyFont="1" applyFill="1" applyBorder="1" applyAlignment="1">
      <alignment horizontal="center"/>
    </xf>
    <xf numFmtId="0" fontId="0" fillId="10" borderId="8" xfId="0" applyFont="1" applyFill="1" applyBorder="1" applyAlignment="1">
      <alignment horizontal="center"/>
    </xf>
    <xf numFmtId="0" fontId="0" fillId="0" borderId="7" xfId="0" applyFont="1" applyBorder="1" applyAlignment="1">
      <alignment horizontal="center" vertical="center" wrapText="1"/>
    </xf>
    <xf numFmtId="0" fontId="0" fillId="0" borderId="7" xfId="0" applyFont="1" applyFill="1" applyBorder="1" applyAlignment="1">
      <alignment horizontal="center" vertical="center" wrapText="1"/>
    </xf>
  </cellXfs>
  <cellStyles count="30">
    <cellStyle name="Millares" xfId="29" builtinId="3"/>
    <cellStyle name="Millares [0]" xfId="1" builtinId="6"/>
    <cellStyle name="Millares [0] 2" xfId="4" xr:uid="{00000000-0005-0000-0000-000001000000}"/>
    <cellStyle name="Millares 10" xfId="21" xr:uid="{00000000-0005-0000-0000-000002000000}"/>
    <cellStyle name="Millares 11" xfId="22" xr:uid="{00000000-0005-0000-0000-000003000000}"/>
    <cellStyle name="Millares 12" xfId="24" xr:uid="{00000000-0005-0000-0000-000004000000}"/>
    <cellStyle name="Millares 13" xfId="26" xr:uid="{00000000-0005-0000-0000-000005000000}"/>
    <cellStyle name="Millares 14" xfId="27" xr:uid="{00000000-0005-0000-0000-000006000000}"/>
    <cellStyle name="Millares 2" xfId="6" xr:uid="{00000000-0005-0000-0000-000007000000}"/>
    <cellStyle name="Millares 3" xfId="10" xr:uid="{00000000-0005-0000-0000-000008000000}"/>
    <cellStyle name="Millares 4" xfId="9" xr:uid="{00000000-0005-0000-0000-000009000000}"/>
    <cellStyle name="Millares 5" xfId="11" xr:uid="{00000000-0005-0000-0000-00000A000000}"/>
    <cellStyle name="Millares 6" xfId="13" xr:uid="{00000000-0005-0000-0000-00000B000000}"/>
    <cellStyle name="Millares 7" xfId="18" xr:uid="{00000000-0005-0000-0000-00000C000000}"/>
    <cellStyle name="Millares 8" xfId="19" xr:uid="{00000000-0005-0000-0000-00000D000000}"/>
    <cellStyle name="Millares 9" xfId="20" xr:uid="{00000000-0005-0000-0000-00000E000000}"/>
    <cellStyle name="Moneda" xfId="28" builtinId="4"/>
    <cellStyle name="Normal" xfId="0" builtinId="0"/>
    <cellStyle name="Normal 2" xfId="3" xr:uid="{00000000-0005-0000-0000-000010000000}"/>
    <cellStyle name="Normal 2 2" xfId="7" xr:uid="{00000000-0005-0000-0000-000011000000}"/>
    <cellStyle name="Normal 3" xfId="5" xr:uid="{00000000-0005-0000-0000-000012000000}"/>
    <cellStyle name="Normal 3 2" xfId="14" xr:uid="{00000000-0005-0000-0000-000013000000}"/>
    <cellStyle name="Normal 4" xfId="12" xr:uid="{00000000-0005-0000-0000-000014000000}"/>
    <cellStyle name="Normal 5" xfId="23" xr:uid="{00000000-0005-0000-0000-000015000000}"/>
    <cellStyle name="Porcentaje" xfId="2" builtinId="5"/>
    <cellStyle name="Porcentaje 2" xfId="8" xr:uid="{00000000-0005-0000-0000-000017000000}"/>
    <cellStyle name="Porcentaje 2 2" xfId="16" xr:uid="{00000000-0005-0000-0000-000018000000}"/>
    <cellStyle name="Porcentaje 3" xfId="17" xr:uid="{00000000-0005-0000-0000-000019000000}"/>
    <cellStyle name="Porcentaje 4" xfId="15" xr:uid="{00000000-0005-0000-0000-00001A000000}"/>
    <cellStyle name="Porcentaje 5" xfId="25" xr:uid="{00000000-0005-0000-0000-00001B000000}"/>
  </cellStyles>
  <dxfs count="0"/>
  <tableStyles count="0" defaultTableStyle="TableStyleMedium2" defaultPivotStyle="PivotStyleLight16"/>
  <colors>
    <mruColors>
      <color rgb="FF17F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laudia/Downloads/PLAN%20TERRITORIAL%20DE%20SALUD_2020%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MYCOMP"/>
      <sheetName val="Tabla 14 - Plan de Acción 2020"/>
    </sheetNames>
    <sheetDataSet>
      <sheetData sheetId="0">
        <row r="2">
          <cell r="B2" t="str">
            <v>DIMENSIÓN_DE_SALUD_AMBIENTAL</v>
          </cell>
          <cell r="C2" t="str">
            <v>DIMENSIÓN_DE_VIDA_SALUDABLE_Y_CONDICIONES_NO_TRANSMISIBLES</v>
          </cell>
          <cell r="D2" t="str">
            <v>DIMENSIÓN_CONVIVENCIA_SOCIAL_Y_SALUD_MENTAL</v>
          </cell>
          <cell r="E2" t="str">
            <v>DIMENSIÓN_SEGURIDAD_ALIMENTARIA_Y_NUTRICIONAL</v>
          </cell>
          <cell r="F2" t="str">
            <v>DIMENSIÓN_SEXUALIDAD_DERECHOS_SEXUALES_Y_REPRODUCTIVOS</v>
          </cell>
          <cell r="G2" t="str">
            <v>DIMENSIÓN_VIDA_SALUDABLE_Y_ENFERMEDADES_TRANSMISIBLES</v>
          </cell>
          <cell r="H2" t="str">
            <v>DIMENSIÓN_SALUD_PÚBLICA_EN_EMERGENCIAS_Y_DESASTRES</v>
          </cell>
          <cell r="I2" t="str">
            <v>DIMENSIÓN_SALUD_Y_ÁMBITO_LABORAL</v>
          </cell>
          <cell r="J2" t="str">
            <v>DIMENSIÓN_TRANSVERSAL_GESTIÓN_DIFERENCIAL_DE_POBLACIONES_VULNERABLES</v>
          </cell>
          <cell r="K2" t="str">
            <v>DIMENSIÓN_FORTALECIMIENTO_DE_LA_AUTORIDAD_SANITARIA_PARA_LA_GESTIÓN_EN_SALUD</v>
          </cell>
        </row>
      </sheetData>
      <sheetData sheetId="1"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02"/>
  <sheetViews>
    <sheetView topLeftCell="H2" zoomScale="85" zoomScaleNormal="85" workbookViewId="0">
      <pane ySplit="1" topLeftCell="A32" activePane="bottomLeft" state="frozen"/>
      <selection activeCell="B2" sqref="B2"/>
      <selection pane="bottomLeft" activeCell="P37" sqref="P37"/>
    </sheetView>
  </sheetViews>
  <sheetFormatPr baseColWidth="10" defaultColWidth="14.44140625" defaultRowHeight="15" customHeight="1" x14ac:dyDescent="0.3"/>
  <cols>
    <col min="1" max="1" width="13.44140625" style="319" customWidth="1"/>
    <col min="2" max="2" width="10.88671875" style="319" customWidth="1"/>
    <col min="3" max="3" width="37.88671875" style="380" customWidth="1"/>
    <col min="4" max="4" width="16.109375" style="319" customWidth="1"/>
    <col min="5" max="5" width="13.5546875" style="319" customWidth="1"/>
    <col min="6" max="6" width="9.109375" style="319" customWidth="1"/>
    <col min="7" max="7" width="8.5546875" style="319" customWidth="1"/>
    <col min="8" max="8" width="8.44140625" style="319" customWidth="1"/>
    <col min="9" max="9" width="8.6640625" style="319" customWidth="1"/>
    <col min="10" max="10" width="6.88671875" style="319" customWidth="1"/>
    <col min="11" max="11" width="8.6640625" style="381" customWidth="1"/>
    <col min="12" max="12" width="8.5546875" style="319" customWidth="1"/>
    <col min="13" max="13" width="9.6640625" style="319" customWidth="1"/>
    <col min="14" max="15" width="9" style="319" customWidth="1"/>
    <col min="16" max="16" width="9.44140625" style="319" customWidth="1"/>
    <col min="17" max="17" width="11.109375" style="319" customWidth="1"/>
    <col min="18" max="18" width="12.5546875" style="319" customWidth="1"/>
    <col min="19" max="20" width="11.44140625" style="319" customWidth="1"/>
    <col min="21" max="21" width="12.109375" style="319" customWidth="1"/>
    <col min="22" max="22" width="11.44140625" style="319" customWidth="1"/>
    <col min="23" max="23" width="13.88671875" style="319" customWidth="1"/>
    <col min="24" max="24" width="12.109375" style="319" customWidth="1"/>
    <col min="25" max="25" width="10" style="319" customWidth="1"/>
    <col min="26" max="27" width="12.5546875" style="319" customWidth="1"/>
    <col min="28" max="28" width="13.88671875" style="319" customWidth="1"/>
    <col min="29" max="30" width="10" style="319" customWidth="1"/>
    <col min="31" max="16384" width="14.44140625" style="319"/>
  </cols>
  <sheetData>
    <row r="1" spans="1:30" ht="58.5" hidden="1" customHeight="1" x14ac:dyDescent="0.35">
      <c r="A1" s="310" t="s">
        <v>0</v>
      </c>
      <c r="B1" s="310" t="s">
        <v>1</v>
      </c>
      <c r="C1" s="311" t="s">
        <v>2</v>
      </c>
      <c r="D1" s="312"/>
      <c r="E1" s="312"/>
      <c r="F1" s="532" t="s">
        <v>3</v>
      </c>
      <c r="G1" s="533"/>
      <c r="H1" s="532" t="s">
        <v>4</v>
      </c>
      <c r="I1" s="534"/>
      <c r="J1" s="533"/>
      <c r="K1" s="313"/>
      <c r="L1" s="314"/>
      <c r="M1" s="314"/>
      <c r="N1" s="315"/>
      <c r="O1" s="316"/>
      <c r="P1" s="535"/>
      <c r="Q1" s="536"/>
      <c r="R1" s="317"/>
      <c r="S1" s="537" t="s">
        <v>6</v>
      </c>
      <c r="T1" s="538"/>
      <c r="U1" s="538"/>
      <c r="V1" s="538"/>
      <c r="W1" s="318"/>
      <c r="X1" s="318"/>
      <c r="Y1" s="318"/>
      <c r="Z1" s="318"/>
      <c r="AA1" s="318"/>
      <c r="AB1" s="318"/>
      <c r="AC1" s="318"/>
      <c r="AD1" s="318"/>
    </row>
    <row r="2" spans="1:30" ht="58.5" customHeight="1" thickBot="1" x14ac:dyDescent="0.35">
      <c r="A2" s="320" t="s">
        <v>54</v>
      </c>
      <c r="B2" s="321" t="s">
        <v>1</v>
      </c>
      <c r="C2" s="322" t="s">
        <v>2</v>
      </c>
      <c r="D2" s="539" t="s">
        <v>3</v>
      </c>
      <c r="E2" s="540"/>
      <c r="F2" s="548" t="s">
        <v>5</v>
      </c>
      <c r="G2" s="549"/>
      <c r="H2" s="549"/>
      <c r="I2" s="549"/>
      <c r="J2" s="550"/>
      <c r="K2" s="542" t="s">
        <v>6</v>
      </c>
      <c r="L2" s="543"/>
      <c r="M2" s="543"/>
      <c r="N2" s="544"/>
      <c r="O2" s="323"/>
      <c r="P2" s="539" t="s">
        <v>56</v>
      </c>
      <c r="Q2" s="541"/>
      <c r="R2" s="540"/>
      <c r="S2" s="539" t="s">
        <v>57</v>
      </c>
      <c r="T2" s="541"/>
      <c r="U2" s="540"/>
      <c r="V2" s="539" t="s">
        <v>58</v>
      </c>
      <c r="W2" s="541"/>
      <c r="X2" s="540"/>
      <c r="Y2" s="539" t="s">
        <v>59</v>
      </c>
      <c r="Z2" s="541"/>
      <c r="AA2" s="541"/>
      <c r="AB2" s="546" t="s">
        <v>60</v>
      </c>
      <c r="AC2" s="316"/>
      <c r="AD2" s="318"/>
    </row>
    <row r="3" spans="1:30" ht="58.5" customHeight="1" thickBot="1" x14ac:dyDescent="0.35">
      <c r="A3" s="324"/>
      <c r="B3" s="325"/>
      <c r="C3" s="326"/>
      <c r="D3" s="327" t="s">
        <v>7</v>
      </c>
      <c r="E3" s="327" t="s">
        <v>8</v>
      </c>
      <c r="F3" s="328" t="s">
        <v>13</v>
      </c>
      <c r="G3" s="328" t="s">
        <v>15</v>
      </c>
      <c r="H3" s="328" t="s">
        <v>17</v>
      </c>
      <c r="I3" s="328" t="s">
        <v>18</v>
      </c>
      <c r="J3" s="329" t="s">
        <v>55</v>
      </c>
      <c r="K3" s="330" t="s">
        <v>13</v>
      </c>
      <c r="L3" s="331" t="s">
        <v>15</v>
      </c>
      <c r="M3" s="331" t="s">
        <v>17</v>
      </c>
      <c r="N3" s="331" t="s">
        <v>18</v>
      </c>
      <c r="O3" s="331" t="s">
        <v>61</v>
      </c>
      <c r="P3" s="327" t="s">
        <v>9</v>
      </c>
      <c r="Q3" s="327" t="s">
        <v>10</v>
      </c>
      <c r="R3" s="327" t="s">
        <v>11</v>
      </c>
      <c r="S3" s="332" t="s">
        <v>9</v>
      </c>
      <c r="T3" s="332" t="s">
        <v>10</v>
      </c>
      <c r="U3" s="332" t="s">
        <v>11</v>
      </c>
      <c r="V3" s="332" t="s">
        <v>9</v>
      </c>
      <c r="W3" s="332" t="s">
        <v>10</v>
      </c>
      <c r="X3" s="332" t="s">
        <v>11</v>
      </c>
      <c r="Y3" s="332" t="s">
        <v>9</v>
      </c>
      <c r="Z3" s="332" t="s">
        <v>10</v>
      </c>
      <c r="AA3" s="333" t="s">
        <v>11</v>
      </c>
      <c r="AB3" s="547"/>
      <c r="AC3" s="316"/>
      <c r="AD3" s="318"/>
    </row>
    <row r="4" spans="1:30" ht="80.25" customHeight="1" x14ac:dyDescent="0.3">
      <c r="A4" s="334" t="s">
        <v>23</v>
      </c>
      <c r="B4" s="335" t="s">
        <v>26</v>
      </c>
      <c r="C4" s="336" t="s">
        <v>12</v>
      </c>
      <c r="D4" s="335" t="s">
        <v>53</v>
      </c>
      <c r="E4" s="335" t="s">
        <v>52</v>
      </c>
      <c r="F4" s="335">
        <v>2</v>
      </c>
      <c r="G4" s="335">
        <v>2</v>
      </c>
      <c r="H4" s="335">
        <v>2</v>
      </c>
      <c r="I4" s="335">
        <v>2</v>
      </c>
      <c r="J4" s="335">
        <f>F4+G4+H4+I4</f>
        <v>8</v>
      </c>
      <c r="K4" s="337">
        <v>1</v>
      </c>
      <c r="L4" s="335">
        <v>2</v>
      </c>
      <c r="M4" s="335">
        <v>3</v>
      </c>
      <c r="N4" s="335"/>
      <c r="O4" s="337">
        <f>K4+L4 +M4+N4</f>
        <v>6</v>
      </c>
      <c r="P4" s="337">
        <v>1</v>
      </c>
      <c r="Q4" s="337">
        <v>2</v>
      </c>
      <c r="R4" s="382">
        <f>P4/Q4*25</f>
        <v>12.5</v>
      </c>
      <c r="S4" s="339">
        <v>2</v>
      </c>
      <c r="T4" s="339">
        <v>2</v>
      </c>
      <c r="U4" s="340">
        <v>50</v>
      </c>
      <c r="V4" s="339">
        <v>3</v>
      </c>
      <c r="W4" s="339">
        <v>2</v>
      </c>
      <c r="X4" s="341">
        <f>V4/W4*25</f>
        <v>37.5</v>
      </c>
      <c r="Y4" s="339"/>
      <c r="Z4" s="339"/>
      <c r="AA4" s="339"/>
      <c r="AB4" s="342">
        <f>R4+U4+X4+AA4</f>
        <v>100</v>
      </c>
      <c r="AC4" s="343"/>
      <c r="AD4" s="343"/>
    </row>
    <row r="5" spans="1:30" ht="93.75" customHeight="1" x14ac:dyDescent="0.3">
      <c r="A5" s="334" t="s">
        <v>23</v>
      </c>
      <c r="B5" s="334" t="s">
        <v>26</v>
      </c>
      <c r="C5" s="336" t="s">
        <v>14</v>
      </c>
      <c r="D5" s="335" t="s">
        <v>62</v>
      </c>
      <c r="E5" s="335" t="s">
        <v>63</v>
      </c>
      <c r="F5" s="335">
        <v>225</v>
      </c>
      <c r="G5" s="335">
        <v>240</v>
      </c>
      <c r="H5" s="335">
        <v>152</v>
      </c>
      <c r="I5" s="335">
        <v>0</v>
      </c>
      <c r="J5" s="335">
        <f>F5+G5+H5+I5</f>
        <v>617</v>
      </c>
      <c r="K5" s="337">
        <v>225</v>
      </c>
      <c r="L5" s="335">
        <v>240</v>
      </c>
      <c r="M5" s="335">
        <v>147</v>
      </c>
      <c r="N5" s="335"/>
      <c r="O5" s="337">
        <f t="shared" ref="O5:O34" si="0">K5+L5 +M5+N5</f>
        <v>612</v>
      </c>
      <c r="P5" s="337">
        <v>24</v>
      </c>
      <c r="Q5" s="337">
        <v>225</v>
      </c>
      <c r="R5" s="344">
        <f>P5/Q5*25</f>
        <v>2.666666666666667</v>
      </c>
      <c r="S5" s="339">
        <v>441</v>
      </c>
      <c r="T5" s="339">
        <v>240</v>
      </c>
      <c r="U5" s="340">
        <v>47</v>
      </c>
      <c r="V5" s="339">
        <v>143</v>
      </c>
      <c r="W5" s="339">
        <v>152</v>
      </c>
      <c r="X5" s="341">
        <f t="shared" ref="X5:X34" si="1">V5/W5*25</f>
        <v>23.519736842105264</v>
      </c>
      <c r="Y5" s="339"/>
      <c r="Z5" s="339"/>
      <c r="AA5" s="339"/>
      <c r="AB5" s="383">
        <f t="shared" ref="AB5:AB34" si="2">R5+U5+X5+AA5</f>
        <v>73.186403508771932</v>
      </c>
      <c r="AC5" s="343"/>
      <c r="AD5" s="343"/>
    </row>
    <row r="6" spans="1:30" ht="119.25" customHeight="1" x14ac:dyDescent="0.3">
      <c r="A6" s="334" t="s">
        <v>23</v>
      </c>
      <c r="B6" s="334" t="s">
        <v>26</v>
      </c>
      <c r="C6" s="336" t="s">
        <v>16</v>
      </c>
      <c r="D6" s="335" t="s">
        <v>67</v>
      </c>
      <c r="E6" s="335" t="s">
        <v>68</v>
      </c>
      <c r="F6" s="337">
        <v>168</v>
      </c>
      <c r="G6" s="337">
        <v>195</v>
      </c>
      <c r="H6" s="335">
        <v>155</v>
      </c>
      <c r="I6" s="335"/>
      <c r="J6" s="337">
        <f>F6+G6+H6+I6</f>
        <v>518</v>
      </c>
      <c r="K6" s="337">
        <v>31</v>
      </c>
      <c r="L6" s="339">
        <v>117</v>
      </c>
      <c r="M6" s="335">
        <v>155</v>
      </c>
      <c r="N6" s="335"/>
      <c r="O6" s="337">
        <f t="shared" si="0"/>
        <v>303</v>
      </c>
      <c r="P6" s="337">
        <v>31</v>
      </c>
      <c r="Q6" s="337">
        <v>168</v>
      </c>
      <c r="R6" s="382">
        <f>P6/Q6*25</f>
        <v>4.6130952380952381</v>
      </c>
      <c r="S6" s="339">
        <v>117</v>
      </c>
      <c r="T6" s="337">
        <v>195</v>
      </c>
      <c r="U6" s="347">
        <f>(S6/T6)*25</f>
        <v>15</v>
      </c>
      <c r="V6" s="339">
        <v>158</v>
      </c>
      <c r="W6" s="339">
        <v>115</v>
      </c>
      <c r="X6" s="341">
        <f>(V6/W6)*25</f>
        <v>34.347826086956523</v>
      </c>
      <c r="Y6" s="339"/>
      <c r="Z6" s="339"/>
      <c r="AA6" s="339"/>
      <c r="AB6" s="385">
        <f t="shared" si="2"/>
        <v>53.960921325051757</v>
      </c>
      <c r="AC6" s="343"/>
      <c r="AD6" s="343"/>
    </row>
    <row r="7" spans="1:30" ht="81.599999999999994" customHeight="1" x14ac:dyDescent="0.3">
      <c r="A7" s="334" t="s">
        <v>23</v>
      </c>
      <c r="B7" s="334" t="s">
        <v>44</v>
      </c>
      <c r="C7" s="336" t="s">
        <v>19</v>
      </c>
      <c r="D7" s="349" t="s">
        <v>69</v>
      </c>
      <c r="E7" s="349" t="s">
        <v>70</v>
      </c>
      <c r="F7" s="337">
        <v>0</v>
      </c>
      <c r="G7" s="335">
        <v>2</v>
      </c>
      <c r="H7" s="335">
        <v>2</v>
      </c>
      <c r="I7" s="335">
        <v>0</v>
      </c>
      <c r="J7" s="335">
        <v>4</v>
      </c>
      <c r="K7" s="337">
        <v>0</v>
      </c>
      <c r="L7" s="335">
        <v>0</v>
      </c>
      <c r="M7" s="335">
        <v>4</v>
      </c>
      <c r="N7" s="335"/>
      <c r="O7" s="337">
        <f t="shared" si="0"/>
        <v>4</v>
      </c>
      <c r="P7" s="337">
        <v>0</v>
      </c>
      <c r="Q7" s="337">
        <v>0</v>
      </c>
      <c r="R7" s="350">
        <v>25</v>
      </c>
      <c r="S7" s="339">
        <v>0</v>
      </c>
      <c r="T7" s="339">
        <v>2</v>
      </c>
      <c r="U7" s="347">
        <v>0</v>
      </c>
      <c r="V7" s="339">
        <v>4</v>
      </c>
      <c r="W7" s="339">
        <v>2</v>
      </c>
      <c r="X7" s="341">
        <f>(V7/W7)*25</f>
        <v>50</v>
      </c>
      <c r="Y7" s="339"/>
      <c r="Z7" s="339"/>
      <c r="AA7" s="339"/>
      <c r="AB7" s="674">
        <f t="shared" si="2"/>
        <v>75</v>
      </c>
      <c r="AC7" s="343"/>
      <c r="AD7" s="343"/>
    </row>
    <row r="8" spans="1:30" ht="76.2" customHeight="1" x14ac:dyDescent="0.3">
      <c r="A8" s="334" t="s">
        <v>23</v>
      </c>
      <c r="B8" s="334" t="s">
        <v>45</v>
      </c>
      <c r="C8" s="336" t="s">
        <v>20</v>
      </c>
      <c r="D8" s="337" t="s">
        <v>71</v>
      </c>
      <c r="E8" s="337" t="s">
        <v>72</v>
      </c>
      <c r="F8" s="337">
        <v>0</v>
      </c>
      <c r="G8" s="335">
        <v>5</v>
      </c>
      <c r="H8" s="335">
        <v>15</v>
      </c>
      <c r="I8" s="335">
        <v>5</v>
      </c>
      <c r="J8" s="337">
        <f>F8+G8+H8+I8</f>
        <v>25</v>
      </c>
      <c r="K8" s="337">
        <v>0</v>
      </c>
      <c r="L8" s="335">
        <v>3</v>
      </c>
      <c r="M8" s="335">
        <v>14</v>
      </c>
      <c r="N8" s="335"/>
      <c r="O8" s="337">
        <f t="shared" si="0"/>
        <v>17</v>
      </c>
      <c r="P8" s="337">
        <v>0</v>
      </c>
      <c r="Q8" s="337">
        <v>0</v>
      </c>
      <c r="R8" s="350">
        <v>25</v>
      </c>
      <c r="S8" s="339">
        <v>3</v>
      </c>
      <c r="T8" s="339">
        <v>5</v>
      </c>
      <c r="U8" s="347">
        <v>15</v>
      </c>
      <c r="V8" s="339">
        <v>14</v>
      </c>
      <c r="W8" s="339">
        <v>15</v>
      </c>
      <c r="X8" s="341">
        <f t="shared" si="1"/>
        <v>23.333333333333332</v>
      </c>
      <c r="Y8" s="339"/>
      <c r="Z8" s="339"/>
      <c r="AA8" s="339"/>
      <c r="AB8" s="383">
        <f t="shared" si="2"/>
        <v>63.333333333333329</v>
      </c>
      <c r="AC8" s="343"/>
      <c r="AD8" s="343"/>
    </row>
    <row r="9" spans="1:30" ht="58.5" customHeight="1" x14ac:dyDescent="0.3">
      <c r="A9" s="334" t="s">
        <v>23</v>
      </c>
      <c r="B9" s="334" t="s">
        <v>45</v>
      </c>
      <c r="C9" s="336" t="s">
        <v>21</v>
      </c>
      <c r="D9" s="335" t="s">
        <v>74</v>
      </c>
      <c r="E9" s="335" t="s">
        <v>73</v>
      </c>
      <c r="F9" s="335">
        <v>0</v>
      </c>
      <c r="G9" s="335">
        <v>6</v>
      </c>
      <c r="H9" s="335">
        <v>6</v>
      </c>
      <c r="I9" s="335">
        <v>4</v>
      </c>
      <c r="J9" s="335">
        <f>F9+G9+H9+I9</f>
        <v>16</v>
      </c>
      <c r="K9" s="337">
        <v>0</v>
      </c>
      <c r="L9" s="335">
        <v>0</v>
      </c>
      <c r="M9" s="335">
        <v>0</v>
      </c>
      <c r="N9" s="335"/>
      <c r="O9" s="337">
        <f t="shared" si="0"/>
        <v>0</v>
      </c>
      <c r="P9" s="337">
        <v>0</v>
      </c>
      <c r="Q9" s="337">
        <v>0</v>
      </c>
      <c r="R9" s="350">
        <v>25</v>
      </c>
      <c r="S9" s="339">
        <v>0</v>
      </c>
      <c r="T9" s="339">
        <v>6</v>
      </c>
      <c r="U9" s="347">
        <v>0</v>
      </c>
      <c r="V9" s="339">
        <v>0</v>
      </c>
      <c r="W9" s="339">
        <v>6</v>
      </c>
      <c r="X9" s="384">
        <f t="shared" si="1"/>
        <v>0</v>
      </c>
      <c r="Y9" s="339"/>
      <c r="Z9" s="339"/>
      <c r="AA9" s="339"/>
      <c r="AB9" s="351">
        <f t="shared" si="2"/>
        <v>25</v>
      </c>
      <c r="AC9" s="343"/>
      <c r="AD9" s="343"/>
    </row>
    <row r="10" spans="1:30" ht="58.5" customHeight="1" x14ac:dyDescent="0.3">
      <c r="A10" s="334"/>
      <c r="B10" s="334" t="s">
        <v>46</v>
      </c>
      <c r="C10" s="336" t="s">
        <v>22</v>
      </c>
      <c r="D10" s="335" t="s">
        <v>75</v>
      </c>
      <c r="E10" s="335" t="s">
        <v>76</v>
      </c>
      <c r="F10" s="335">
        <v>0</v>
      </c>
      <c r="G10" s="335">
        <v>133</v>
      </c>
      <c r="H10" s="335">
        <v>150</v>
      </c>
      <c r="I10" s="335">
        <v>117</v>
      </c>
      <c r="J10" s="335">
        <f>F10+G10+H10+I10</f>
        <v>400</v>
      </c>
      <c r="K10" s="337">
        <v>0</v>
      </c>
      <c r="L10" s="335">
        <v>0</v>
      </c>
      <c r="M10" s="335">
        <v>0</v>
      </c>
      <c r="N10" s="335"/>
      <c r="O10" s="337">
        <f t="shared" si="0"/>
        <v>0</v>
      </c>
      <c r="P10" s="337">
        <v>0</v>
      </c>
      <c r="Q10" s="337">
        <v>0</v>
      </c>
      <c r="R10" s="350">
        <v>25</v>
      </c>
      <c r="S10" s="339">
        <v>0</v>
      </c>
      <c r="T10" s="339">
        <v>133</v>
      </c>
      <c r="U10" s="347">
        <v>0</v>
      </c>
      <c r="V10" s="339">
        <v>0</v>
      </c>
      <c r="W10" s="339">
        <v>150</v>
      </c>
      <c r="X10" s="384">
        <f t="shared" si="1"/>
        <v>0</v>
      </c>
      <c r="Y10" s="339"/>
      <c r="Z10" s="339"/>
      <c r="AA10" s="339"/>
      <c r="AB10" s="351">
        <f t="shared" si="2"/>
        <v>25</v>
      </c>
      <c r="AC10" s="343"/>
      <c r="AD10" s="343"/>
    </row>
    <row r="11" spans="1:30" ht="90" customHeight="1" x14ac:dyDescent="0.3">
      <c r="A11" s="334" t="s">
        <v>23</v>
      </c>
      <c r="B11" s="334" t="s">
        <v>46</v>
      </c>
      <c r="C11" s="336" t="s">
        <v>24</v>
      </c>
      <c r="D11" s="335" t="s">
        <v>77</v>
      </c>
      <c r="E11" s="335" t="s">
        <v>80</v>
      </c>
      <c r="F11" s="335">
        <v>0</v>
      </c>
      <c r="G11" s="335">
        <v>50</v>
      </c>
      <c r="H11" s="335">
        <v>325</v>
      </c>
      <c r="I11" s="335">
        <v>325</v>
      </c>
      <c r="J11" s="335">
        <f>F11+G11+H11+I11</f>
        <v>700</v>
      </c>
      <c r="K11" s="337">
        <v>0</v>
      </c>
      <c r="L11" s="335">
        <v>0</v>
      </c>
      <c r="M11" s="335">
        <v>0</v>
      </c>
      <c r="N11" s="335"/>
      <c r="O11" s="337">
        <f t="shared" si="0"/>
        <v>0</v>
      </c>
      <c r="P11" s="337">
        <v>0</v>
      </c>
      <c r="Q11" s="337">
        <v>0</v>
      </c>
      <c r="R11" s="350">
        <v>25</v>
      </c>
      <c r="S11" s="339">
        <v>0</v>
      </c>
      <c r="T11" s="339">
        <v>50</v>
      </c>
      <c r="U11" s="347">
        <v>0</v>
      </c>
      <c r="V11" s="339">
        <v>0</v>
      </c>
      <c r="W11" s="339">
        <v>325</v>
      </c>
      <c r="X11" s="384">
        <f t="shared" si="1"/>
        <v>0</v>
      </c>
      <c r="Y11" s="339"/>
      <c r="Z11" s="339"/>
      <c r="AA11" s="339"/>
      <c r="AB11" s="351">
        <f t="shared" si="2"/>
        <v>25</v>
      </c>
      <c r="AC11" s="343"/>
      <c r="AD11" s="343"/>
    </row>
    <row r="12" spans="1:30" ht="124.5" customHeight="1" x14ac:dyDescent="0.3">
      <c r="A12" s="334" t="s">
        <v>23</v>
      </c>
      <c r="B12" s="334" t="s">
        <v>46</v>
      </c>
      <c r="C12" s="336" t="s">
        <v>25</v>
      </c>
      <c r="D12" s="335" t="s">
        <v>78</v>
      </c>
      <c r="E12" s="335" t="s">
        <v>81</v>
      </c>
      <c r="F12" s="335">
        <v>10</v>
      </c>
      <c r="G12" s="335">
        <v>30</v>
      </c>
      <c r="H12" s="335">
        <v>30</v>
      </c>
      <c r="I12" s="335">
        <v>30</v>
      </c>
      <c r="J12" s="335">
        <f>F12+G12+H12+I12</f>
        <v>100</v>
      </c>
      <c r="K12" s="337">
        <v>10</v>
      </c>
      <c r="L12" s="335">
        <v>4</v>
      </c>
      <c r="M12" s="335">
        <v>272</v>
      </c>
      <c r="N12" s="335"/>
      <c r="O12" s="337">
        <f>K12+L12+M12</f>
        <v>286</v>
      </c>
      <c r="P12" s="337">
        <v>10</v>
      </c>
      <c r="Q12" s="337">
        <v>10</v>
      </c>
      <c r="R12" s="352">
        <f>P12/Q12*25</f>
        <v>25</v>
      </c>
      <c r="S12" s="339">
        <v>4</v>
      </c>
      <c r="T12" s="339">
        <v>30</v>
      </c>
      <c r="U12" s="347">
        <v>3.3</v>
      </c>
      <c r="V12" s="339">
        <v>272</v>
      </c>
      <c r="W12" s="339">
        <v>30</v>
      </c>
      <c r="X12" s="341">
        <f t="shared" si="1"/>
        <v>226.66666666666666</v>
      </c>
      <c r="Y12" s="339"/>
      <c r="Z12" s="339"/>
      <c r="AA12" s="339"/>
      <c r="AB12" s="346">
        <f t="shared" si="2"/>
        <v>254.96666666666667</v>
      </c>
      <c r="AC12" s="343"/>
      <c r="AD12" s="343"/>
    </row>
    <row r="13" spans="1:30" ht="64.2" customHeight="1" x14ac:dyDescent="0.3">
      <c r="A13" s="334" t="s">
        <v>23</v>
      </c>
      <c r="B13" s="334" t="s">
        <v>46</v>
      </c>
      <c r="C13" s="336" t="s">
        <v>27</v>
      </c>
      <c r="D13" s="335" t="s">
        <v>79</v>
      </c>
      <c r="E13" s="335" t="s">
        <v>82</v>
      </c>
      <c r="F13" s="335">
        <v>0</v>
      </c>
      <c r="G13" s="335">
        <v>3</v>
      </c>
      <c r="H13" s="335">
        <v>33</v>
      </c>
      <c r="I13" s="335">
        <v>0</v>
      </c>
      <c r="J13" s="335">
        <f t="shared" ref="J13:J34" si="3">F13+G13+H13+I13</f>
        <v>36</v>
      </c>
      <c r="K13" s="337">
        <v>0</v>
      </c>
      <c r="L13" s="335">
        <v>3</v>
      </c>
      <c r="M13" s="335">
        <v>33</v>
      </c>
      <c r="N13" s="335"/>
      <c r="O13" s="337">
        <f t="shared" si="0"/>
        <v>36</v>
      </c>
      <c r="P13" s="337">
        <v>0</v>
      </c>
      <c r="Q13" s="337">
        <v>0</v>
      </c>
      <c r="R13" s="350">
        <v>25</v>
      </c>
      <c r="S13" s="339">
        <v>3</v>
      </c>
      <c r="T13" s="339">
        <v>3</v>
      </c>
      <c r="U13" s="340">
        <f>(S13/T13)*25</f>
        <v>25</v>
      </c>
      <c r="V13" s="339">
        <v>33</v>
      </c>
      <c r="W13" s="339">
        <v>33</v>
      </c>
      <c r="X13" s="341">
        <f t="shared" si="1"/>
        <v>25</v>
      </c>
      <c r="Y13" s="339"/>
      <c r="Z13" s="339"/>
      <c r="AA13" s="339"/>
      <c r="AB13" s="674">
        <f t="shared" si="2"/>
        <v>75</v>
      </c>
      <c r="AC13" s="343"/>
      <c r="AD13" s="343"/>
    </row>
    <row r="14" spans="1:30" ht="93.6" customHeight="1" x14ac:dyDescent="0.3">
      <c r="A14" s="334" t="s">
        <v>23</v>
      </c>
      <c r="B14" s="334" t="s">
        <v>26</v>
      </c>
      <c r="C14" s="336" t="s">
        <v>28</v>
      </c>
      <c r="D14" s="335" t="s">
        <v>84</v>
      </c>
      <c r="E14" s="335" t="s">
        <v>85</v>
      </c>
      <c r="F14" s="335">
        <v>0</v>
      </c>
      <c r="G14" s="335">
        <v>5</v>
      </c>
      <c r="H14" s="335">
        <v>10</v>
      </c>
      <c r="I14" s="335">
        <v>5</v>
      </c>
      <c r="J14" s="335">
        <f t="shared" si="3"/>
        <v>20</v>
      </c>
      <c r="K14" s="337">
        <v>0</v>
      </c>
      <c r="L14" s="335">
        <v>3</v>
      </c>
      <c r="M14" s="335">
        <v>3</v>
      </c>
      <c r="N14" s="335"/>
      <c r="O14" s="337">
        <f t="shared" si="0"/>
        <v>6</v>
      </c>
      <c r="P14" s="337">
        <v>0</v>
      </c>
      <c r="Q14" s="337">
        <v>0</v>
      </c>
      <c r="R14" s="350">
        <v>25</v>
      </c>
      <c r="S14" s="339">
        <v>3</v>
      </c>
      <c r="T14" s="339">
        <v>5</v>
      </c>
      <c r="U14" s="347">
        <f>(S14/T14)*25</f>
        <v>15</v>
      </c>
      <c r="V14" s="339">
        <v>3</v>
      </c>
      <c r="W14" s="339">
        <v>10</v>
      </c>
      <c r="X14" s="384">
        <f t="shared" si="1"/>
        <v>7.5</v>
      </c>
      <c r="Y14" s="339"/>
      <c r="Z14" s="339"/>
      <c r="AA14" s="339"/>
      <c r="AB14" s="385">
        <f t="shared" si="2"/>
        <v>47.5</v>
      </c>
      <c r="AC14" s="343"/>
      <c r="AD14" s="343"/>
    </row>
    <row r="15" spans="1:30" ht="87.75" customHeight="1" x14ac:dyDescent="0.3">
      <c r="A15" s="334" t="s">
        <v>23</v>
      </c>
      <c r="B15" s="334" t="s">
        <v>46</v>
      </c>
      <c r="C15" s="336" t="s">
        <v>29</v>
      </c>
      <c r="D15" s="335" t="s">
        <v>86</v>
      </c>
      <c r="E15" s="335" t="s">
        <v>83</v>
      </c>
      <c r="F15" s="335">
        <v>0</v>
      </c>
      <c r="G15" s="335">
        <v>0</v>
      </c>
      <c r="H15" s="335">
        <v>70</v>
      </c>
      <c r="I15" s="335">
        <v>70</v>
      </c>
      <c r="J15" s="335">
        <f t="shared" si="3"/>
        <v>140</v>
      </c>
      <c r="K15" s="337">
        <v>0</v>
      </c>
      <c r="L15" s="335">
        <v>0</v>
      </c>
      <c r="M15" s="335">
        <v>0</v>
      </c>
      <c r="N15" s="335"/>
      <c r="O15" s="337">
        <f t="shared" si="0"/>
        <v>0</v>
      </c>
      <c r="P15" s="337">
        <v>0</v>
      </c>
      <c r="Q15" s="337">
        <v>0</v>
      </c>
      <c r="R15" s="350">
        <v>25</v>
      </c>
      <c r="S15" s="339">
        <v>0</v>
      </c>
      <c r="T15" s="339">
        <v>0</v>
      </c>
      <c r="U15" s="340">
        <v>25</v>
      </c>
      <c r="V15" s="339">
        <v>0</v>
      </c>
      <c r="W15" s="339">
        <v>70</v>
      </c>
      <c r="X15" s="384">
        <f t="shared" si="1"/>
        <v>0</v>
      </c>
      <c r="Y15" s="339"/>
      <c r="Z15" s="339"/>
      <c r="AA15" s="339"/>
      <c r="AB15" s="351">
        <f t="shared" si="2"/>
        <v>50</v>
      </c>
      <c r="AC15" s="343"/>
      <c r="AD15" s="343"/>
    </row>
    <row r="16" spans="1:30" ht="97.5" customHeight="1" x14ac:dyDescent="0.3">
      <c r="A16" s="334" t="s">
        <v>23</v>
      </c>
      <c r="B16" s="334" t="s">
        <v>47</v>
      </c>
      <c r="C16" s="336" t="s">
        <v>30</v>
      </c>
      <c r="D16" s="335" t="s">
        <v>87</v>
      </c>
      <c r="E16" s="335" t="s">
        <v>88</v>
      </c>
      <c r="F16" s="335">
        <v>0</v>
      </c>
      <c r="G16" s="335">
        <v>10</v>
      </c>
      <c r="H16" s="335">
        <v>45</v>
      </c>
      <c r="I16" s="335">
        <v>45</v>
      </c>
      <c r="J16" s="335">
        <f t="shared" si="3"/>
        <v>100</v>
      </c>
      <c r="K16" s="337">
        <v>0</v>
      </c>
      <c r="L16" s="335">
        <v>11</v>
      </c>
      <c r="M16" s="335">
        <v>25</v>
      </c>
      <c r="N16" s="335"/>
      <c r="O16" s="337">
        <f t="shared" si="0"/>
        <v>36</v>
      </c>
      <c r="P16" s="337">
        <v>0</v>
      </c>
      <c r="Q16" s="337">
        <v>0</v>
      </c>
      <c r="R16" s="350">
        <v>25</v>
      </c>
      <c r="S16" s="339">
        <v>11</v>
      </c>
      <c r="T16" s="339">
        <v>10</v>
      </c>
      <c r="U16" s="341">
        <f>(S16/T16)*25</f>
        <v>27.500000000000004</v>
      </c>
      <c r="V16" s="339">
        <v>25</v>
      </c>
      <c r="W16" s="339">
        <v>45</v>
      </c>
      <c r="X16" s="276">
        <f t="shared" si="1"/>
        <v>13.888888888888889</v>
      </c>
      <c r="Y16" s="339"/>
      <c r="Z16" s="339"/>
      <c r="AA16" s="339"/>
      <c r="AB16" s="385">
        <f t="shared" si="2"/>
        <v>66.388888888888886</v>
      </c>
      <c r="AC16" s="343"/>
      <c r="AD16" s="343"/>
    </row>
    <row r="17" spans="1:30" s="359" customFormat="1" ht="58.5" customHeight="1" x14ac:dyDescent="0.3">
      <c r="A17" s="353" t="s">
        <v>23</v>
      </c>
      <c r="B17" s="353" t="s">
        <v>47</v>
      </c>
      <c r="C17" s="354" t="s">
        <v>31</v>
      </c>
      <c r="D17" s="355" t="s">
        <v>91</v>
      </c>
      <c r="E17" s="355">
        <v>0</v>
      </c>
      <c r="F17" s="355">
        <v>0</v>
      </c>
      <c r="G17" s="355">
        <v>0</v>
      </c>
      <c r="H17" s="355">
        <v>1</v>
      </c>
      <c r="I17" s="355">
        <v>0</v>
      </c>
      <c r="J17" s="355">
        <f t="shared" si="3"/>
        <v>1</v>
      </c>
      <c r="K17" s="356">
        <v>0</v>
      </c>
      <c r="L17" s="355">
        <v>0</v>
      </c>
      <c r="M17" s="355">
        <v>0</v>
      </c>
      <c r="N17" s="355"/>
      <c r="O17" s="356">
        <f t="shared" si="0"/>
        <v>0</v>
      </c>
      <c r="P17" s="356">
        <v>0</v>
      </c>
      <c r="Q17" s="356">
        <v>0</v>
      </c>
      <c r="R17" s="350">
        <v>25</v>
      </c>
      <c r="S17" s="357">
        <v>0</v>
      </c>
      <c r="T17" s="357">
        <v>0</v>
      </c>
      <c r="U17" s="340">
        <v>25</v>
      </c>
      <c r="V17" s="357">
        <v>0</v>
      </c>
      <c r="W17" s="357">
        <v>1</v>
      </c>
      <c r="X17" s="276">
        <f t="shared" si="1"/>
        <v>0</v>
      </c>
      <c r="Y17" s="357"/>
      <c r="Z17" s="357"/>
      <c r="AA17" s="357"/>
      <c r="AB17" s="347">
        <f t="shared" si="2"/>
        <v>50</v>
      </c>
      <c r="AC17" s="358"/>
      <c r="AD17" s="358"/>
    </row>
    <row r="18" spans="1:30" ht="116.25" customHeight="1" x14ac:dyDescent="0.3">
      <c r="A18" s="334" t="s">
        <v>23</v>
      </c>
      <c r="B18" s="334" t="s">
        <v>47</v>
      </c>
      <c r="C18" s="336" t="s">
        <v>48</v>
      </c>
      <c r="D18" s="335" t="s">
        <v>89</v>
      </c>
      <c r="E18" s="335" t="s">
        <v>90</v>
      </c>
      <c r="F18" s="335">
        <v>61</v>
      </c>
      <c r="G18" s="335">
        <v>113</v>
      </c>
      <c r="H18" s="335">
        <v>113</v>
      </c>
      <c r="I18" s="335">
        <v>113</v>
      </c>
      <c r="J18" s="335">
        <f t="shared" si="3"/>
        <v>400</v>
      </c>
      <c r="K18" s="337">
        <v>0</v>
      </c>
      <c r="L18" s="335">
        <v>86</v>
      </c>
      <c r="M18" s="335">
        <v>134</v>
      </c>
      <c r="N18" s="335"/>
      <c r="O18" s="356">
        <f t="shared" si="0"/>
        <v>220</v>
      </c>
      <c r="P18" s="337">
        <v>0</v>
      </c>
      <c r="Q18" s="337">
        <v>61</v>
      </c>
      <c r="R18" s="338">
        <f>P18/Q18*25</f>
        <v>0</v>
      </c>
      <c r="S18" s="339">
        <v>86</v>
      </c>
      <c r="T18" s="339">
        <v>113</v>
      </c>
      <c r="U18" s="347">
        <v>19</v>
      </c>
      <c r="V18" s="339">
        <v>134</v>
      </c>
      <c r="W18" s="339">
        <v>113</v>
      </c>
      <c r="X18" s="341">
        <f t="shared" si="1"/>
        <v>29.646017699115045</v>
      </c>
      <c r="Y18" s="339"/>
      <c r="Z18" s="339"/>
      <c r="AA18" s="339"/>
      <c r="AB18" s="385">
        <f t="shared" si="2"/>
        <v>48.646017699115049</v>
      </c>
      <c r="AC18" s="343"/>
      <c r="AD18" s="343"/>
    </row>
    <row r="19" spans="1:30" ht="58.5" customHeight="1" x14ac:dyDescent="0.3">
      <c r="A19" s="334" t="s">
        <v>23</v>
      </c>
      <c r="B19" s="334" t="s">
        <v>47</v>
      </c>
      <c r="C19" s="336" t="s">
        <v>92</v>
      </c>
      <c r="D19" s="335" t="s">
        <v>93</v>
      </c>
      <c r="E19" s="335" t="s">
        <v>94</v>
      </c>
      <c r="F19" s="335">
        <v>0</v>
      </c>
      <c r="G19" s="335">
        <v>10</v>
      </c>
      <c r="H19" s="335">
        <v>10</v>
      </c>
      <c r="I19" s="335">
        <v>0</v>
      </c>
      <c r="J19" s="335">
        <f t="shared" si="3"/>
        <v>20</v>
      </c>
      <c r="K19" s="337">
        <v>0</v>
      </c>
      <c r="L19" s="335">
        <v>3</v>
      </c>
      <c r="M19" s="335">
        <v>16</v>
      </c>
      <c r="N19" s="335"/>
      <c r="O19" s="337">
        <f t="shared" si="0"/>
        <v>19</v>
      </c>
      <c r="P19" s="337">
        <v>0</v>
      </c>
      <c r="Q19" s="337">
        <v>0</v>
      </c>
      <c r="R19" s="350">
        <v>25</v>
      </c>
      <c r="S19" s="339">
        <v>3</v>
      </c>
      <c r="T19" s="339">
        <v>10</v>
      </c>
      <c r="U19" s="347">
        <f t="shared" ref="U19:U24" si="4">(S19/T19)*25</f>
        <v>7.5</v>
      </c>
      <c r="V19" s="339">
        <v>16</v>
      </c>
      <c r="W19" s="339">
        <v>10</v>
      </c>
      <c r="X19" s="341">
        <f t="shared" si="1"/>
        <v>40</v>
      </c>
      <c r="Y19" s="339"/>
      <c r="Z19" s="339"/>
      <c r="AA19" s="339"/>
      <c r="AB19" s="383">
        <f t="shared" si="2"/>
        <v>72.5</v>
      </c>
      <c r="AC19" s="343"/>
      <c r="AD19" s="343"/>
    </row>
    <row r="20" spans="1:30" ht="76.5" customHeight="1" x14ac:dyDescent="0.3">
      <c r="A20" s="334" t="s">
        <v>23</v>
      </c>
      <c r="B20" s="334" t="s">
        <v>49</v>
      </c>
      <c r="C20" s="336" t="s">
        <v>32</v>
      </c>
      <c r="D20" s="335" t="s">
        <v>95</v>
      </c>
      <c r="E20" s="335" t="s">
        <v>96</v>
      </c>
      <c r="F20" s="335">
        <v>0</v>
      </c>
      <c r="G20" s="335">
        <v>15</v>
      </c>
      <c r="H20" s="335">
        <v>15</v>
      </c>
      <c r="I20" s="335">
        <v>0</v>
      </c>
      <c r="J20" s="335">
        <f t="shared" si="3"/>
        <v>30</v>
      </c>
      <c r="K20" s="337">
        <v>0</v>
      </c>
      <c r="L20" s="335">
        <v>7</v>
      </c>
      <c r="M20" s="335">
        <v>7</v>
      </c>
      <c r="N20" s="335"/>
      <c r="O20" s="337">
        <f>K20+L20+M20+N20</f>
        <v>14</v>
      </c>
      <c r="P20" s="337">
        <v>0</v>
      </c>
      <c r="Q20" s="337">
        <v>0</v>
      </c>
      <c r="R20" s="350">
        <v>25</v>
      </c>
      <c r="S20" s="339">
        <v>7</v>
      </c>
      <c r="T20" s="339">
        <v>15</v>
      </c>
      <c r="U20" s="360">
        <f t="shared" si="4"/>
        <v>11.666666666666666</v>
      </c>
      <c r="V20" s="339">
        <v>7</v>
      </c>
      <c r="W20" s="339">
        <v>15</v>
      </c>
      <c r="X20" s="384">
        <f t="shared" si="1"/>
        <v>11.666666666666666</v>
      </c>
      <c r="Y20" s="339"/>
      <c r="Z20" s="339"/>
      <c r="AA20" s="339"/>
      <c r="AB20" s="385">
        <f t="shared" si="2"/>
        <v>48.333333333333329</v>
      </c>
      <c r="AC20" s="343"/>
      <c r="AD20" s="343"/>
    </row>
    <row r="21" spans="1:30" ht="58.5" customHeight="1" x14ac:dyDescent="0.3">
      <c r="A21" s="334" t="s">
        <v>23</v>
      </c>
      <c r="B21" s="334" t="s">
        <v>44</v>
      </c>
      <c r="C21" s="336" t="s">
        <v>33</v>
      </c>
      <c r="D21" s="337" t="s">
        <v>97</v>
      </c>
      <c r="E21" s="337" t="s">
        <v>99</v>
      </c>
      <c r="F21" s="337">
        <v>10</v>
      </c>
      <c r="G21" s="335">
        <v>20</v>
      </c>
      <c r="H21" s="335">
        <v>40</v>
      </c>
      <c r="I21" s="335">
        <v>31</v>
      </c>
      <c r="J21" s="337">
        <f t="shared" si="3"/>
        <v>101</v>
      </c>
      <c r="K21" s="337">
        <v>0</v>
      </c>
      <c r="L21" s="335">
        <v>5</v>
      </c>
      <c r="M21" s="335">
        <v>26</v>
      </c>
      <c r="N21" s="335"/>
      <c r="O21" s="337">
        <f t="shared" si="0"/>
        <v>31</v>
      </c>
      <c r="P21" s="337">
        <v>0</v>
      </c>
      <c r="Q21" s="337">
        <v>10</v>
      </c>
      <c r="R21" s="338">
        <f>P21/Q21*25</f>
        <v>0</v>
      </c>
      <c r="S21" s="339">
        <v>5</v>
      </c>
      <c r="T21" s="339">
        <v>20</v>
      </c>
      <c r="U21" s="360">
        <f t="shared" si="4"/>
        <v>6.25</v>
      </c>
      <c r="V21" s="339">
        <v>26</v>
      </c>
      <c r="W21" s="339">
        <v>40</v>
      </c>
      <c r="X21" s="384">
        <f t="shared" si="1"/>
        <v>16.25</v>
      </c>
      <c r="Y21" s="339"/>
      <c r="Z21" s="339"/>
      <c r="AA21" s="339"/>
      <c r="AB21" s="385">
        <f t="shared" si="2"/>
        <v>22.5</v>
      </c>
      <c r="AC21" s="343"/>
      <c r="AD21" s="343"/>
    </row>
    <row r="22" spans="1:30" ht="58.5" customHeight="1" x14ac:dyDescent="0.3">
      <c r="A22" s="334" t="s">
        <v>23</v>
      </c>
      <c r="B22" s="334" t="s">
        <v>44</v>
      </c>
      <c r="C22" s="336" t="s">
        <v>34</v>
      </c>
      <c r="D22" s="335" t="s">
        <v>98</v>
      </c>
      <c r="E22" s="335" t="s">
        <v>100</v>
      </c>
      <c r="F22" s="335">
        <v>0</v>
      </c>
      <c r="G22" s="335">
        <v>13</v>
      </c>
      <c r="H22" s="335">
        <v>13</v>
      </c>
      <c r="I22" s="335">
        <v>0</v>
      </c>
      <c r="J22" s="335">
        <f t="shared" si="3"/>
        <v>26</v>
      </c>
      <c r="K22" s="337">
        <v>0</v>
      </c>
      <c r="L22" s="335">
        <v>13</v>
      </c>
      <c r="M22" s="335">
        <v>12</v>
      </c>
      <c r="N22" s="335"/>
      <c r="O22" s="337">
        <f t="shared" si="0"/>
        <v>25</v>
      </c>
      <c r="P22" s="337">
        <v>0</v>
      </c>
      <c r="Q22" s="337">
        <v>0</v>
      </c>
      <c r="R22" s="350">
        <v>25</v>
      </c>
      <c r="S22" s="339">
        <v>13</v>
      </c>
      <c r="T22" s="339">
        <v>13</v>
      </c>
      <c r="U22" s="340">
        <f t="shared" si="4"/>
        <v>25</v>
      </c>
      <c r="V22" s="339">
        <v>12</v>
      </c>
      <c r="W22" s="339">
        <v>13</v>
      </c>
      <c r="X22" s="345">
        <f t="shared" si="1"/>
        <v>23.076923076923077</v>
      </c>
      <c r="Y22" s="339"/>
      <c r="Z22" s="339"/>
      <c r="AA22" s="339"/>
      <c r="AB22" s="383">
        <f t="shared" si="2"/>
        <v>73.07692307692308</v>
      </c>
      <c r="AC22" s="343"/>
      <c r="AD22" s="343"/>
    </row>
    <row r="23" spans="1:30" ht="58.5" customHeight="1" x14ac:dyDescent="0.3">
      <c r="A23" s="334"/>
      <c r="B23" s="334"/>
      <c r="C23" s="336" t="s">
        <v>729</v>
      </c>
      <c r="D23" s="335" t="s">
        <v>101</v>
      </c>
      <c r="E23" s="335" t="s">
        <v>100</v>
      </c>
      <c r="F23" s="335">
        <v>0</v>
      </c>
      <c r="G23" s="335">
        <v>33</v>
      </c>
      <c r="H23" s="335">
        <v>33</v>
      </c>
      <c r="I23" s="335">
        <v>0</v>
      </c>
      <c r="J23" s="335">
        <f t="shared" si="3"/>
        <v>66</v>
      </c>
      <c r="K23" s="337">
        <v>0</v>
      </c>
      <c r="L23" s="335">
        <v>33</v>
      </c>
      <c r="M23" s="335">
        <v>19</v>
      </c>
      <c r="N23" s="335"/>
      <c r="O23" s="337">
        <f t="shared" si="0"/>
        <v>52</v>
      </c>
      <c r="P23" s="337">
        <v>0</v>
      </c>
      <c r="Q23" s="337">
        <v>0</v>
      </c>
      <c r="R23" s="350">
        <v>25</v>
      </c>
      <c r="S23" s="339">
        <v>33</v>
      </c>
      <c r="T23" s="339">
        <v>33</v>
      </c>
      <c r="U23" s="340">
        <f t="shared" si="4"/>
        <v>25</v>
      </c>
      <c r="V23" s="339">
        <v>19</v>
      </c>
      <c r="W23" s="339">
        <v>33</v>
      </c>
      <c r="X23" s="384">
        <f t="shared" si="1"/>
        <v>14.393939393939394</v>
      </c>
      <c r="Y23" s="339"/>
      <c r="Z23" s="339"/>
      <c r="AA23" s="339"/>
      <c r="AB23" s="385">
        <f>R23+U23+X23+AA23</f>
        <v>64.393939393939391</v>
      </c>
      <c r="AC23" s="343"/>
      <c r="AD23" s="343"/>
    </row>
    <row r="24" spans="1:30" ht="87.75" customHeight="1" x14ac:dyDescent="0.3">
      <c r="A24" s="334" t="s">
        <v>23</v>
      </c>
      <c r="B24" s="334" t="s">
        <v>50</v>
      </c>
      <c r="C24" s="336" t="s">
        <v>35</v>
      </c>
      <c r="D24" s="335" t="s">
        <v>101</v>
      </c>
      <c r="E24" s="335" t="s">
        <v>100</v>
      </c>
      <c r="F24" s="335">
        <v>0</v>
      </c>
      <c r="G24" s="335">
        <v>2</v>
      </c>
      <c r="H24" s="335">
        <v>4</v>
      </c>
      <c r="I24" s="335">
        <v>2</v>
      </c>
      <c r="J24" s="335">
        <f t="shared" si="3"/>
        <v>8</v>
      </c>
      <c r="K24" s="337">
        <v>0</v>
      </c>
      <c r="L24" s="335">
        <v>0</v>
      </c>
      <c r="M24" s="335">
        <v>2</v>
      </c>
      <c r="N24" s="335"/>
      <c r="O24" s="337">
        <f t="shared" si="0"/>
        <v>2</v>
      </c>
      <c r="P24" s="337">
        <v>0</v>
      </c>
      <c r="Q24" s="337">
        <v>0</v>
      </c>
      <c r="R24" s="350">
        <v>25</v>
      </c>
      <c r="S24" s="339">
        <v>0</v>
      </c>
      <c r="T24" s="339">
        <v>2</v>
      </c>
      <c r="U24" s="347">
        <f t="shared" si="4"/>
        <v>0</v>
      </c>
      <c r="V24" s="339">
        <v>2</v>
      </c>
      <c r="W24" s="339">
        <v>4</v>
      </c>
      <c r="X24" s="384">
        <f t="shared" si="1"/>
        <v>12.5</v>
      </c>
      <c r="Y24" s="339"/>
      <c r="Z24" s="339"/>
      <c r="AA24" s="339"/>
      <c r="AB24" s="385">
        <f t="shared" si="2"/>
        <v>37.5</v>
      </c>
      <c r="AC24" s="343"/>
      <c r="AD24" s="343"/>
    </row>
    <row r="25" spans="1:30" ht="93.75" customHeight="1" x14ac:dyDescent="0.3">
      <c r="A25" s="334" t="s">
        <v>23</v>
      </c>
      <c r="B25" s="334" t="s">
        <v>50</v>
      </c>
      <c r="C25" s="336" t="s">
        <v>36</v>
      </c>
      <c r="D25" s="335" t="s">
        <v>102</v>
      </c>
      <c r="E25" s="335" t="s">
        <v>100</v>
      </c>
      <c r="F25" s="335">
        <v>1</v>
      </c>
      <c r="G25" s="335">
        <v>6</v>
      </c>
      <c r="H25" s="335">
        <v>6</v>
      </c>
      <c r="I25" s="335">
        <v>3</v>
      </c>
      <c r="J25" s="335">
        <f t="shared" si="3"/>
        <v>16</v>
      </c>
      <c r="K25" s="337">
        <v>1</v>
      </c>
      <c r="L25" s="335">
        <v>11</v>
      </c>
      <c r="M25" s="335">
        <v>14</v>
      </c>
      <c r="N25" s="335"/>
      <c r="O25" s="337">
        <f t="shared" si="0"/>
        <v>26</v>
      </c>
      <c r="P25" s="337">
        <v>1</v>
      </c>
      <c r="Q25" s="337">
        <v>1</v>
      </c>
      <c r="R25" s="350">
        <f>P25/Q25*25</f>
        <v>25</v>
      </c>
      <c r="S25" s="339">
        <v>11</v>
      </c>
      <c r="T25" s="339">
        <v>6</v>
      </c>
      <c r="U25" s="340">
        <v>37.5</v>
      </c>
      <c r="V25" s="339">
        <v>12</v>
      </c>
      <c r="W25" s="339">
        <v>6</v>
      </c>
      <c r="X25" s="341">
        <f t="shared" si="1"/>
        <v>50</v>
      </c>
      <c r="Y25" s="339"/>
      <c r="Z25" s="339"/>
      <c r="AA25" s="339"/>
      <c r="AB25" s="346">
        <f t="shared" si="2"/>
        <v>112.5</v>
      </c>
      <c r="AC25" s="343"/>
      <c r="AD25" s="343"/>
    </row>
    <row r="26" spans="1:30" ht="140.4" customHeight="1" x14ac:dyDescent="0.3">
      <c r="A26" s="334" t="s">
        <v>23</v>
      </c>
      <c r="B26" s="334" t="s">
        <v>50</v>
      </c>
      <c r="C26" s="336" t="s">
        <v>37</v>
      </c>
      <c r="D26" s="335" t="s">
        <v>103</v>
      </c>
      <c r="E26" s="335" t="s">
        <v>37</v>
      </c>
      <c r="F26" s="335">
        <v>0</v>
      </c>
      <c r="G26" s="335">
        <v>1</v>
      </c>
      <c r="H26" s="335">
        <v>0</v>
      </c>
      <c r="I26" s="335">
        <v>0</v>
      </c>
      <c r="J26" s="335">
        <f t="shared" si="3"/>
        <v>1</v>
      </c>
      <c r="K26" s="337">
        <v>0</v>
      </c>
      <c r="L26" s="335">
        <v>1</v>
      </c>
      <c r="M26" s="335">
        <v>0</v>
      </c>
      <c r="N26" s="335"/>
      <c r="O26" s="337">
        <f t="shared" si="0"/>
        <v>1</v>
      </c>
      <c r="P26" s="337">
        <v>0</v>
      </c>
      <c r="Q26" s="337">
        <v>0</v>
      </c>
      <c r="R26" s="350">
        <v>25</v>
      </c>
      <c r="S26" s="339">
        <v>1</v>
      </c>
      <c r="T26" s="339">
        <v>1</v>
      </c>
      <c r="U26" s="340">
        <f>(S26/T26)*25</f>
        <v>25</v>
      </c>
      <c r="V26" s="339">
        <v>0</v>
      </c>
      <c r="W26" s="339">
        <v>0</v>
      </c>
      <c r="X26" s="341">
        <v>25</v>
      </c>
      <c r="Y26" s="386"/>
      <c r="Z26" s="339"/>
      <c r="AA26" s="339"/>
      <c r="AB26" s="674">
        <f t="shared" si="2"/>
        <v>75</v>
      </c>
      <c r="AC26" s="343"/>
      <c r="AD26" s="343"/>
    </row>
    <row r="27" spans="1:30" ht="58.5" customHeight="1" x14ac:dyDescent="0.3">
      <c r="A27" s="334" t="s">
        <v>23</v>
      </c>
      <c r="B27" s="334" t="s">
        <v>49</v>
      </c>
      <c r="C27" s="336" t="s">
        <v>38</v>
      </c>
      <c r="D27" s="335" t="s">
        <v>104</v>
      </c>
      <c r="E27" s="335" t="s">
        <v>99</v>
      </c>
      <c r="F27" s="335">
        <v>0</v>
      </c>
      <c r="G27" s="335">
        <v>25</v>
      </c>
      <c r="H27" s="335">
        <v>50</v>
      </c>
      <c r="I27" s="335">
        <v>25</v>
      </c>
      <c r="J27" s="335">
        <f t="shared" si="3"/>
        <v>100</v>
      </c>
      <c r="K27" s="337">
        <v>5</v>
      </c>
      <c r="L27" s="335">
        <v>20</v>
      </c>
      <c r="M27" s="335">
        <v>35</v>
      </c>
      <c r="N27" s="335"/>
      <c r="O27" s="337">
        <f t="shared" si="0"/>
        <v>60</v>
      </c>
      <c r="P27" s="337">
        <v>0</v>
      </c>
      <c r="Q27" s="337">
        <v>0</v>
      </c>
      <c r="R27" s="350">
        <v>25</v>
      </c>
      <c r="S27" s="339">
        <v>20</v>
      </c>
      <c r="T27" s="339">
        <v>25</v>
      </c>
      <c r="U27" s="387">
        <f>(S27/T27)*25</f>
        <v>20</v>
      </c>
      <c r="V27" s="339">
        <v>35</v>
      </c>
      <c r="W27" s="339">
        <v>50</v>
      </c>
      <c r="X27" s="384">
        <f t="shared" si="1"/>
        <v>17.5</v>
      </c>
      <c r="Y27" s="339"/>
      <c r="Z27" s="339"/>
      <c r="AA27" s="339"/>
      <c r="AB27" s="385">
        <f t="shared" si="2"/>
        <v>62.5</v>
      </c>
      <c r="AC27" s="343"/>
      <c r="AD27" s="343"/>
    </row>
    <row r="28" spans="1:30" ht="70.8" customHeight="1" x14ac:dyDescent="0.3">
      <c r="A28" s="334" t="s">
        <v>23</v>
      </c>
      <c r="B28" s="334" t="s">
        <v>45</v>
      </c>
      <c r="C28" s="336" t="s">
        <v>39</v>
      </c>
      <c r="D28" s="335" t="s">
        <v>105</v>
      </c>
      <c r="E28" s="335" t="s">
        <v>96</v>
      </c>
      <c r="F28" s="335">
        <v>20</v>
      </c>
      <c r="G28" s="335">
        <v>20</v>
      </c>
      <c r="H28" s="335">
        <v>20</v>
      </c>
      <c r="I28" s="335">
        <v>20</v>
      </c>
      <c r="J28" s="335">
        <f t="shared" si="3"/>
        <v>80</v>
      </c>
      <c r="K28" s="337">
        <v>8</v>
      </c>
      <c r="L28" s="335">
        <v>23</v>
      </c>
      <c r="M28" s="335">
        <v>80</v>
      </c>
      <c r="N28" s="335"/>
      <c r="O28" s="337">
        <f t="shared" si="0"/>
        <v>111</v>
      </c>
      <c r="P28" s="337">
        <v>8</v>
      </c>
      <c r="Q28" s="337">
        <v>20</v>
      </c>
      <c r="R28" s="338">
        <f>P28/Q28*25</f>
        <v>10</v>
      </c>
      <c r="S28" s="339">
        <v>23</v>
      </c>
      <c r="T28" s="339">
        <v>20</v>
      </c>
      <c r="U28" s="341">
        <f>(S28/T28)*25</f>
        <v>28.749999999999996</v>
      </c>
      <c r="V28" s="339">
        <v>80</v>
      </c>
      <c r="W28" s="339">
        <v>20</v>
      </c>
      <c r="X28" s="341">
        <f t="shared" si="1"/>
        <v>100</v>
      </c>
      <c r="Y28" s="339"/>
      <c r="Z28" s="339"/>
      <c r="AA28" s="339"/>
      <c r="AB28" s="346">
        <f t="shared" si="2"/>
        <v>138.75</v>
      </c>
      <c r="AC28" s="343"/>
      <c r="AD28" s="343"/>
    </row>
    <row r="29" spans="1:30" ht="83.25" customHeight="1" x14ac:dyDescent="0.3">
      <c r="A29" s="334" t="s">
        <v>23</v>
      </c>
      <c r="B29" s="334" t="s">
        <v>45</v>
      </c>
      <c r="C29" s="361" t="s">
        <v>40</v>
      </c>
      <c r="D29" s="335" t="s">
        <v>106</v>
      </c>
      <c r="E29" s="335" t="s">
        <v>96</v>
      </c>
      <c r="F29" s="335">
        <v>10</v>
      </c>
      <c r="G29" s="335">
        <v>46</v>
      </c>
      <c r="H29" s="335">
        <v>48</v>
      </c>
      <c r="I29" s="335">
        <v>46</v>
      </c>
      <c r="J29" s="335">
        <f t="shared" si="3"/>
        <v>150</v>
      </c>
      <c r="K29" s="337">
        <v>10</v>
      </c>
      <c r="L29" s="335">
        <v>4</v>
      </c>
      <c r="M29" s="335">
        <v>113</v>
      </c>
      <c r="N29" s="335"/>
      <c r="O29" s="337">
        <f t="shared" si="0"/>
        <v>127</v>
      </c>
      <c r="P29" s="337">
        <v>10</v>
      </c>
      <c r="Q29" s="337">
        <v>10</v>
      </c>
      <c r="R29" s="350">
        <f>P29/Q29*25</f>
        <v>25</v>
      </c>
      <c r="S29" s="339">
        <v>4</v>
      </c>
      <c r="T29" s="339">
        <v>46</v>
      </c>
      <c r="U29" s="384">
        <v>2.1</v>
      </c>
      <c r="V29" s="339">
        <v>113</v>
      </c>
      <c r="W29" s="339">
        <v>48</v>
      </c>
      <c r="X29" s="341">
        <f t="shared" si="1"/>
        <v>58.854166666666664</v>
      </c>
      <c r="Y29" s="339"/>
      <c r="Z29" s="339"/>
      <c r="AA29" s="339"/>
      <c r="AB29" s="383">
        <f t="shared" si="2"/>
        <v>85.954166666666666</v>
      </c>
      <c r="AC29" s="343"/>
      <c r="AD29" s="343"/>
    </row>
    <row r="30" spans="1:30" ht="115.5" customHeight="1" x14ac:dyDescent="0.3">
      <c r="A30" s="334" t="s">
        <v>23</v>
      </c>
      <c r="B30" s="334" t="s">
        <v>45</v>
      </c>
      <c r="C30" s="362" t="s">
        <v>41</v>
      </c>
      <c r="D30" s="335" t="s">
        <v>107</v>
      </c>
      <c r="E30" s="335" t="s">
        <v>96</v>
      </c>
      <c r="F30" s="335">
        <v>0</v>
      </c>
      <c r="G30" s="335">
        <v>15</v>
      </c>
      <c r="H30" s="335">
        <v>15</v>
      </c>
      <c r="I30" s="335">
        <v>0</v>
      </c>
      <c r="J30" s="335">
        <f t="shared" si="3"/>
        <v>30</v>
      </c>
      <c r="K30" s="337">
        <v>0</v>
      </c>
      <c r="L30" s="335">
        <v>16</v>
      </c>
      <c r="M30" s="335">
        <v>14</v>
      </c>
      <c r="N30" s="335"/>
      <c r="O30" s="337">
        <f t="shared" si="0"/>
        <v>30</v>
      </c>
      <c r="P30" s="337">
        <v>0</v>
      </c>
      <c r="Q30" s="337">
        <v>0</v>
      </c>
      <c r="R30" s="350">
        <v>25</v>
      </c>
      <c r="S30" s="339">
        <v>16</v>
      </c>
      <c r="T30" s="339">
        <v>15</v>
      </c>
      <c r="U30" s="341">
        <f>(S30/T30)*25</f>
        <v>26.666666666666668</v>
      </c>
      <c r="V30" s="339">
        <v>14</v>
      </c>
      <c r="W30" s="339">
        <v>15</v>
      </c>
      <c r="X30" s="341">
        <f t="shared" si="1"/>
        <v>23.333333333333332</v>
      </c>
      <c r="Y30" s="339"/>
      <c r="Z30" s="339"/>
      <c r="AA30" s="339"/>
      <c r="AB30" s="383">
        <f t="shared" si="2"/>
        <v>75</v>
      </c>
      <c r="AC30" s="343"/>
      <c r="AD30" s="343"/>
    </row>
    <row r="31" spans="1:30" ht="141.75" customHeight="1" x14ac:dyDescent="0.3">
      <c r="A31" s="363" t="s">
        <v>23</v>
      </c>
      <c r="B31" s="363" t="s">
        <v>45</v>
      </c>
      <c r="C31" s="364" t="s">
        <v>112</v>
      </c>
      <c r="D31" s="365" t="s">
        <v>108</v>
      </c>
      <c r="E31" s="365" t="s">
        <v>96</v>
      </c>
      <c r="F31" s="365">
        <v>10</v>
      </c>
      <c r="G31" s="365">
        <v>30</v>
      </c>
      <c r="H31" s="365">
        <v>30</v>
      </c>
      <c r="I31" s="365">
        <v>30</v>
      </c>
      <c r="J31" s="365">
        <f t="shared" si="3"/>
        <v>100</v>
      </c>
      <c r="K31" s="366">
        <v>6</v>
      </c>
      <c r="L31" s="365">
        <v>26</v>
      </c>
      <c r="M31" s="365">
        <v>53</v>
      </c>
      <c r="N31" s="365"/>
      <c r="O31" s="337">
        <f t="shared" si="0"/>
        <v>85</v>
      </c>
      <c r="P31" s="366">
        <v>6</v>
      </c>
      <c r="Q31" s="366">
        <v>10</v>
      </c>
      <c r="R31" s="350">
        <f>(P31/Q31)*25</f>
        <v>15</v>
      </c>
      <c r="S31" s="339">
        <v>26</v>
      </c>
      <c r="T31" s="339">
        <v>30</v>
      </c>
      <c r="U31" s="347">
        <v>18</v>
      </c>
      <c r="V31" s="339">
        <v>53</v>
      </c>
      <c r="W31" s="339">
        <v>30</v>
      </c>
      <c r="X31" s="341">
        <f t="shared" si="1"/>
        <v>44.166666666666664</v>
      </c>
      <c r="Y31" s="339"/>
      <c r="Z31" s="339"/>
      <c r="AA31" s="339"/>
      <c r="AB31" s="383">
        <f t="shared" si="2"/>
        <v>77.166666666666657</v>
      </c>
      <c r="AC31" s="343"/>
      <c r="AD31" s="343"/>
    </row>
    <row r="32" spans="1:30" ht="58.5" customHeight="1" x14ac:dyDescent="0.3">
      <c r="A32" s="339"/>
      <c r="B32" s="339"/>
      <c r="C32" s="367" t="s">
        <v>51</v>
      </c>
      <c r="D32" s="85" t="s">
        <v>109</v>
      </c>
      <c r="E32" s="85" t="s">
        <v>110</v>
      </c>
      <c r="F32" s="85">
        <v>0</v>
      </c>
      <c r="G32" s="85">
        <v>13</v>
      </c>
      <c r="H32" s="85">
        <v>0</v>
      </c>
      <c r="I32" s="85">
        <v>0</v>
      </c>
      <c r="J32" s="85">
        <f t="shared" si="3"/>
        <v>13</v>
      </c>
      <c r="K32" s="368">
        <v>0</v>
      </c>
      <c r="L32" s="85">
        <v>13</v>
      </c>
      <c r="M32" s="85">
        <v>0</v>
      </c>
      <c r="N32" s="85"/>
      <c r="O32" s="337">
        <f t="shared" si="0"/>
        <v>13</v>
      </c>
      <c r="P32" s="85">
        <v>0</v>
      </c>
      <c r="Q32" s="85">
        <v>0</v>
      </c>
      <c r="R32" s="350">
        <v>25</v>
      </c>
      <c r="S32" s="339">
        <v>13</v>
      </c>
      <c r="T32" s="339">
        <v>13</v>
      </c>
      <c r="U32" s="341">
        <f>(S32/T32)*25</f>
        <v>25</v>
      </c>
      <c r="V32" s="339">
        <v>0</v>
      </c>
      <c r="W32" s="339">
        <v>0</v>
      </c>
      <c r="X32" s="341">
        <v>25</v>
      </c>
      <c r="Y32" s="339"/>
      <c r="Z32" s="339"/>
      <c r="AA32" s="339"/>
      <c r="AB32" s="674">
        <f t="shared" si="2"/>
        <v>75</v>
      </c>
    </row>
    <row r="33" spans="1:28" ht="87.75" customHeight="1" x14ac:dyDescent="0.3">
      <c r="A33" s="339"/>
      <c r="B33" s="339"/>
      <c r="C33" s="369" t="s">
        <v>42</v>
      </c>
      <c r="D33" s="85" t="s">
        <v>111</v>
      </c>
      <c r="E33" s="85" t="s">
        <v>96</v>
      </c>
      <c r="F33" s="85">
        <v>3</v>
      </c>
      <c r="G33" s="85">
        <v>10</v>
      </c>
      <c r="H33" s="85">
        <v>12</v>
      </c>
      <c r="I33" s="85">
        <v>5</v>
      </c>
      <c r="J33" s="85">
        <f t="shared" si="3"/>
        <v>30</v>
      </c>
      <c r="K33" s="368">
        <v>3</v>
      </c>
      <c r="L33" s="85">
        <v>19</v>
      </c>
      <c r="M33" s="85">
        <v>31</v>
      </c>
      <c r="N33" s="85"/>
      <c r="O33" s="337">
        <f t="shared" si="0"/>
        <v>53</v>
      </c>
      <c r="P33" s="85">
        <v>3</v>
      </c>
      <c r="Q33" s="85">
        <v>3</v>
      </c>
      <c r="R33" s="350">
        <f>P33/Q33*25</f>
        <v>25</v>
      </c>
      <c r="S33" s="339">
        <v>19</v>
      </c>
      <c r="T33" s="348">
        <v>10</v>
      </c>
      <c r="U33" s="341">
        <f t="shared" ref="U33:U34" si="5">(S33/T33)*25</f>
        <v>47.5</v>
      </c>
      <c r="V33" s="339">
        <v>31</v>
      </c>
      <c r="W33" s="339">
        <v>12</v>
      </c>
      <c r="X33" s="341">
        <f t="shared" si="1"/>
        <v>64.583333333333343</v>
      </c>
      <c r="Y33" s="339"/>
      <c r="Z33" s="339"/>
      <c r="AA33" s="339"/>
      <c r="AB33" s="346">
        <f t="shared" si="2"/>
        <v>137.08333333333334</v>
      </c>
    </row>
    <row r="34" spans="1:28" s="359" customFormat="1" ht="58.5" customHeight="1" x14ac:dyDescent="0.3">
      <c r="A34" s="357"/>
      <c r="B34" s="357"/>
      <c r="C34" s="370" t="s">
        <v>115</v>
      </c>
      <c r="D34" s="371"/>
      <c r="E34" s="371">
        <v>0</v>
      </c>
      <c r="F34" s="371">
        <v>25</v>
      </c>
      <c r="G34" s="371">
        <v>25</v>
      </c>
      <c r="H34" s="371">
        <v>25</v>
      </c>
      <c r="I34" s="371">
        <v>25</v>
      </c>
      <c r="J34" s="371">
        <f t="shared" si="3"/>
        <v>100</v>
      </c>
      <c r="K34" s="372">
        <v>25</v>
      </c>
      <c r="L34" s="371">
        <v>25</v>
      </c>
      <c r="M34" s="371">
        <v>25</v>
      </c>
      <c r="N34" s="371"/>
      <c r="O34" s="356">
        <f t="shared" si="0"/>
        <v>75</v>
      </c>
      <c r="P34" s="371">
        <v>25</v>
      </c>
      <c r="Q34" s="371">
        <v>25</v>
      </c>
      <c r="R34" s="350">
        <f>P34/Q34*25</f>
        <v>25</v>
      </c>
      <c r="S34" s="357">
        <v>25</v>
      </c>
      <c r="T34" s="357">
        <v>25</v>
      </c>
      <c r="U34" s="341">
        <f t="shared" si="5"/>
        <v>25</v>
      </c>
      <c r="V34" s="357">
        <v>25</v>
      </c>
      <c r="W34" s="357">
        <v>25</v>
      </c>
      <c r="X34" s="341">
        <f t="shared" si="1"/>
        <v>25</v>
      </c>
      <c r="Y34" s="357"/>
      <c r="Z34" s="357"/>
      <c r="AA34" s="357"/>
      <c r="AB34" s="387">
        <f t="shared" si="2"/>
        <v>75</v>
      </c>
    </row>
    <row r="35" spans="1:28" ht="58.5" customHeight="1" x14ac:dyDescent="0.3">
      <c r="C35" s="545" t="s">
        <v>116</v>
      </c>
      <c r="D35" s="545"/>
      <c r="E35" s="545"/>
      <c r="F35" s="373"/>
      <c r="G35" s="373"/>
      <c r="H35" s="373"/>
      <c r="I35" s="373"/>
      <c r="J35" s="373"/>
      <c r="K35" s="374"/>
      <c r="L35" s="373"/>
      <c r="M35" s="373"/>
      <c r="N35" s="373"/>
      <c r="O35" s="373"/>
      <c r="S35" s="373"/>
      <c r="T35" s="373"/>
      <c r="U35" s="373"/>
      <c r="V35" s="373"/>
    </row>
    <row r="36" spans="1:28" ht="58.5" customHeight="1" x14ac:dyDescent="0.3">
      <c r="B36" s="373"/>
      <c r="C36" s="85" t="s">
        <v>113</v>
      </c>
      <c r="D36" s="85">
        <v>7</v>
      </c>
      <c r="E36" s="360">
        <f>7/30*100</f>
        <v>23.333333333333332</v>
      </c>
      <c r="F36" s="373"/>
      <c r="G36" s="373"/>
      <c r="H36" s="373"/>
      <c r="I36" s="373"/>
      <c r="J36" s="373"/>
      <c r="K36" s="374"/>
      <c r="L36" s="373"/>
      <c r="M36" s="373"/>
      <c r="N36" s="545" t="s">
        <v>714</v>
      </c>
      <c r="O36" s="545"/>
      <c r="P36" s="545"/>
      <c r="Q36" s="373"/>
      <c r="R36" s="373"/>
      <c r="S36" s="545" t="s">
        <v>983</v>
      </c>
      <c r="T36" s="545"/>
      <c r="U36" s="545"/>
      <c r="V36" s="373"/>
      <c r="Z36" s="545" t="s">
        <v>715</v>
      </c>
      <c r="AA36" s="545"/>
      <c r="AB36" s="545"/>
    </row>
    <row r="37" spans="1:28" ht="58.5" customHeight="1" x14ac:dyDescent="0.3">
      <c r="B37" s="373"/>
      <c r="C37" s="85" t="s">
        <v>114</v>
      </c>
      <c r="D37" s="85">
        <v>23</v>
      </c>
      <c r="E37" s="375">
        <f>23/30*100</f>
        <v>76.666666666666671</v>
      </c>
      <c r="F37" s="373"/>
      <c r="G37" s="373"/>
      <c r="H37" s="373"/>
      <c r="I37" s="373"/>
      <c r="J37" s="373"/>
      <c r="K37" s="374"/>
      <c r="L37" s="373"/>
      <c r="M37" s="373"/>
      <c r="N37" s="85" t="s">
        <v>113</v>
      </c>
      <c r="O37" s="85">
        <v>16</v>
      </c>
      <c r="P37" s="360">
        <f>16/31*100</f>
        <v>51.612903225806448</v>
      </c>
      <c r="Q37" s="373"/>
      <c r="R37" s="373"/>
      <c r="S37" s="487" t="s">
        <v>113</v>
      </c>
      <c r="T37" s="487">
        <v>12</v>
      </c>
      <c r="U37" s="384">
        <f>12/31*100</f>
        <v>38.70967741935484</v>
      </c>
      <c r="V37" s="373"/>
      <c r="Z37" s="85" t="s">
        <v>113</v>
      </c>
      <c r="AA37" s="85">
        <v>14</v>
      </c>
      <c r="AB37" s="384">
        <f>14/31*100</f>
        <v>45.161290322580641</v>
      </c>
    </row>
    <row r="38" spans="1:28" ht="58.5" customHeight="1" x14ac:dyDescent="0.3">
      <c r="A38" s="85" t="s">
        <v>121</v>
      </c>
      <c r="B38" s="373"/>
      <c r="C38" s="376" t="s">
        <v>120</v>
      </c>
      <c r="F38" s="373"/>
      <c r="G38" s="373"/>
      <c r="I38" s="373"/>
      <c r="J38" s="373"/>
      <c r="K38" s="374"/>
      <c r="L38" s="373"/>
      <c r="M38" s="373"/>
      <c r="N38" s="85" t="s">
        <v>114</v>
      </c>
      <c r="O38" s="85">
        <v>15</v>
      </c>
      <c r="P38" s="375">
        <f>15/31*100</f>
        <v>48.387096774193552</v>
      </c>
      <c r="Q38" s="373"/>
      <c r="R38" s="373"/>
      <c r="S38" s="487" t="s">
        <v>114</v>
      </c>
      <c r="T38" s="487">
        <v>18</v>
      </c>
      <c r="U38" s="675">
        <f>18/31*100</f>
        <v>58.064516129032263</v>
      </c>
      <c r="V38" s="373"/>
      <c r="Z38" s="85" t="s">
        <v>114</v>
      </c>
      <c r="AA38" s="85">
        <v>5</v>
      </c>
      <c r="AB38" s="675">
        <f>5/31*100</f>
        <v>16.129032258064516</v>
      </c>
    </row>
    <row r="39" spans="1:28" ht="58.5" customHeight="1" x14ac:dyDescent="0.3">
      <c r="A39" s="377" t="s">
        <v>64</v>
      </c>
      <c r="C39" s="347" t="s">
        <v>117</v>
      </c>
      <c r="F39" s="373"/>
      <c r="G39" s="373"/>
      <c r="I39" s="373"/>
      <c r="J39" s="373"/>
      <c r="K39" s="374"/>
      <c r="L39" s="373"/>
      <c r="M39" s="373"/>
      <c r="N39" s="85" t="s">
        <v>691</v>
      </c>
      <c r="O39" s="85">
        <v>0</v>
      </c>
      <c r="P39" s="378"/>
      <c r="Q39" s="373"/>
      <c r="R39" s="373"/>
      <c r="S39" s="487" t="s">
        <v>691</v>
      </c>
      <c r="T39" s="487">
        <v>1</v>
      </c>
      <c r="U39" s="676">
        <f>1/31*100</f>
        <v>3.225806451612903</v>
      </c>
      <c r="V39" s="373"/>
      <c r="Z39" s="85" t="s">
        <v>691</v>
      </c>
      <c r="AA39" s="85">
        <v>12</v>
      </c>
      <c r="AB39" s="676">
        <f>(AA39/31)*100</f>
        <v>38.70967741935484</v>
      </c>
    </row>
    <row r="40" spans="1:28" ht="58.5" customHeight="1" x14ac:dyDescent="0.3">
      <c r="A40" s="378" t="s">
        <v>65</v>
      </c>
      <c r="C40" s="378" t="s">
        <v>118</v>
      </c>
      <c r="F40" s="373"/>
      <c r="G40" s="373"/>
      <c r="H40" s="373"/>
      <c r="I40" s="373"/>
      <c r="J40" s="373"/>
      <c r="K40" s="374"/>
      <c r="L40" s="373"/>
      <c r="M40" s="373"/>
      <c r="N40" s="373"/>
      <c r="O40" s="373"/>
      <c r="P40" s="373"/>
      <c r="Q40" s="373"/>
      <c r="R40" s="373"/>
      <c r="S40" s="373"/>
      <c r="T40" s="373"/>
      <c r="U40" s="373"/>
      <c r="V40" s="373"/>
    </row>
    <row r="41" spans="1:28" ht="58.5" customHeight="1" x14ac:dyDescent="0.3">
      <c r="A41" s="379" t="s">
        <v>66</v>
      </c>
      <c r="C41" s="340" t="s">
        <v>119</v>
      </c>
      <c r="F41" s="373"/>
      <c r="G41" s="373"/>
      <c r="H41" s="373"/>
      <c r="I41" s="373"/>
      <c r="J41" s="373"/>
      <c r="K41" s="374"/>
      <c r="L41" s="373"/>
      <c r="M41" s="373"/>
      <c r="N41" s="373"/>
      <c r="O41" s="373"/>
      <c r="P41" s="373"/>
      <c r="Q41" s="373"/>
      <c r="R41" s="373"/>
      <c r="S41" s="373"/>
      <c r="T41" s="373"/>
      <c r="U41" s="373"/>
      <c r="V41" s="373"/>
    </row>
    <row r="42" spans="1:28" ht="58.5" customHeight="1" x14ac:dyDescent="0.3">
      <c r="F42" s="373"/>
      <c r="G42" s="373"/>
      <c r="H42" s="373"/>
      <c r="I42" s="373"/>
      <c r="J42" s="373"/>
      <c r="K42" s="374"/>
      <c r="L42" s="373"/>
      <c r="M42" s="373"/>
      <c r="N42" s="373"/>
      <c r="O42" s="373"/>
      <c r="P42" s="373"/>
      <c r="Q42" s="373"/>
      <c r="R42" s="373"/>
      <c r="S42" s="373"/>
      <c r="T42" s="373"/>
      <c r="U42" s="373"/>
      <c r="V42" s="373"/>
    </row>
    <row r="43" spans="1:28" ht="58.5" customHeight="1" x14ac:dyDescent="0.3">
      <c r="F43" s="373"/>
      <c r="G43" s="373"/>
      <c r="H43" s="373"/>
      <c r="I43" s="373"/>
      <c r="J43" s="373"/>
      <c r="K43" s="374"/>
      <c r="L43" s="373"/>
      <c r="M43" s="373"/>
      <c r="N43" s="373"/>
      <c r="O43" s="373"/>
      <c r="P43" s="373"/>
      <c r="Q43" s="373"/>
      <c r="R43" s="373"/>
      <c r="S43" s="373"/>
      <c r="T43" s="373"/>
      <c r="U43" s="373"/>
      <c r="V43" s="373"/>
    </row>
    <row r="44" spans="1:28" ht="58.5" customHeight="1" x14ac:dyDescent="0.3">
      <c r="F44" s="373"/>
      <c r="G44" s="373"/>
      <c r="H44" s="373"/>
      <c r="I44" s="373"/>
      <c r="J44" s="373"/>
      <c r="K44" s="374"/>
      <c r="L44" s="373"/>
      <c r="M44" s="373"/>
      <c r="N44" s="373"/>
      <c r="O44" s="373"/>
      <c r="P44" s="373"/>
      <c r="Q44" s="373"/>
      <c r="R44" s="373"/>
      <c r="S44" s="373"/>
      <c r="T44" s="373"/>
      <c r="U44" s="373"/>
      <c r="V44" s="373"/>
    </row>
    <row r="45" spans="1:28" ht="58.5" customHeight="1" x14ac:dyDescent="0.3">
      <c r="F45" s="373"/>
      <c r="G45" s="373"/>
      <c r="H45" s="373"/>
      <c r="I45" s="373"/>
      <c r="J45" s="373"/>
      <c r="K45" s="374"/>
      <c r="L45" s="373"/>
      <c r="M45" s="373"/>
      <c r="N45" s="373"/>
      <c r="O45" s="373"/>
      <c r="P45" s="373"/>
      <c r="Q45" s="373"/>
      <c r="R45" s="373"/>
      <c r="S45" s="373"/>
      <c r="T45" s="373"/>
      <c r="U45" s="373"/>
      <c r="V45" s="373"/>
    </row>
    <row r="46" spans="1:28" ht="58.5" customHeight="1" x14ac:dyDescent="0.3">
      <c r="F46" s="373"/>
      <c r="G46" s="373"/>
      <c r="H46" s="373"/>
      <c r="I46" s="373"/>
      <c r="J46" s="373"/>
      <c r="K46" s="374"/>
      <c r="L46" s="373"/>
      <c r="M46" s="373"/>
      <c r="N46" s="373"/>
      <c r="O46" s="373"/>
      <c r="P46" s="373"/>
      <c r="Q46" s="373"/>
      <c r="R46" s="373"/>
      <c r="S46" s="373"/>
      <c r="T46" s="373"/>
      <c r="U46" s="373"/>
      <c r="V46" s="373"/>
    </row>
    <row r="47" spans="1:28" ht="58.5" customHeight="1" x14ac:dyDescent="0.3">
      <c r="F47" s="373"/>
      <c r="G47" s="373"/>
      <c r="H47" s="373"/>
      <c r="I47" s="373"/>
      <c r="J47" s="373"/>
      <c r="K47" s="374"/>
      <c r="L47" s="373"/>
      <c r="M47" s="373"/>
      <c r="N47" s="373"/>
      <c r="O47" s="373"/>
      <c r="P47" s="373"/>
      <c r="Q47" s="373"/>
      <c r="R47" s="373"/>
      <c r="S47" s="373"/>
      <c r="T47" s="373"/>
      <c r="U47" s="373"/>
      <c r="V47" s="373"/>
    </row>
    <row r="48" spans="1:28" ht="58.5" customHeight="1" x14ac:dyDescent="0.3">
      <c r="F48" s="373"/>
      <c r="G48" s="373"/>
      <c r="H48" s="373"/>
      <c r="I48" s="373"/>
      <c r="J48" s="373"/>
      <c r="K48" s="374"/>
      <c r="L48" s="373"/>
      <c r="M48" s="373"/>
      <c r="N48" s="373"/>
      <c r="O48" s="373"/>
      <c r="P48" s="373"/>
      <c r="Q48" s="373"/>
      <c r="R48" s="373"/>
      <c r="S48" s="373"/>
      <c r="T48" s="373"/>
      <c r="U48" s="373"/>
      <c r="V48" s="373"/>
    </row>
    <row r="49" spans="6:22" ht="58.5" customHeight="1" x14ac:dyDescent="0.3">
      <c r="F49" s="373"/>
      <c r="G49" s="373"/>
      <c r="H49" s="373"/>
      <c r="I49" s="373"/>
      <c r="J49" s="373"/>
      <c r="K49" s="374"/>
      <c r="L49" s="373"/>
      <c r="M49" s="373"/>
      <c r="N49" s="373"/>
      <c r="O49" s="373"/>
      <c r="P49" s="373"/>
      <c r="Q49" s="373"/>
      <c r="R49" s="373"/>
      <c r="S49" s="373"/>
      <c r="T49" s="373"/>
      <c r="U49" s="373"/>
      <c r="V49" s="373"/>
    </row>
    <row r="50" spans="6:22" ht="58.5" customHeight="1" x14ac:dyDescent="0.3">
      <c r="F50" s="373"/>
      <c r="G50" s="373"/>
      <c r="H50" s="373"/>
      <c r="I50" s="373"/>
      <c r="J50" s="373"/>
      <c r="K50" s="374"/>
      <c r="L50" s="373"/>
      <c r="M50" s="373"/>
      <c r="N50" s="373"/>
      <c r="O50" s="373"/>
      <c r="P50" s="373"/>
      <c r="Q50" s="373"/>
      <c r="R50" s="373"/>
      <c r="S50" s="373"/>
      <c r="T50" s="373"/>
      <c r="U50" s="373"/>
      <c r="V50" s="373"/>
    </row>
    <row r="51" spans="6:22" ht="58.5" customHeight="1" x14ac:dyDescent="0.3">
      <c r="F51" s="373"/>
      <c r="G51" s="373"/>
      <c r="H51" s="373"/>
      <c r="I51" s="373"/>
      <c r="J51" s="373"/>
      <c r="K51" s="374"/>
      <c r="L51" s="373"/>
      <c r="M51" s="373"/>
      <c r="N51" s="373"/>
      <c r="O51" s="373"/>
      <c r="P51" s="373"/>
      <c r="Q51" s="373"/>
      <c r="R51" s="373"/>
      <c r="S51" s="373"/>
      <c r="T51" s="373"/>
      <c r="U51" s="373"/>
      <c r="V51" s="373"/>
    </row>
    <row r="52" spans="6:22" ht="58.5" customHeight="1" x14ac:dyDescent="0.3">
      <c r="F52" s="373"/>
      <c r="G52" s="373"/>
      <c r="H52" s="373"/>
      <c r="I52" s="373"/>
      <c r="J52" s="373"/>
      <c r="K52" s="374"/>
      <c r="L52" s="373"/>
      <c r="M52" s="373"/>
      <c r="N52" s="373"/>
      <c r="O52" s="373"/>
      <c r="P52" s="373"/>
      <c r="Q52" s="373"/>
      <c r="R52" s="373"/>
      <c r="S52" s="373"/>
      <c r="T52" s="373"/>
      <c r="U52" s="373"/>
      <c r="V52" s="373"/>
    </row>
    <row r="53" spans="6:22" ht="58.5" customHeight="1" x14ac:dyDescent="0.3">
      <c r="F53" s="373"/>
      <c r="G53" s="373"/>
      <c r="H53" s="373"/>
      <c r="I53" s="373"/>
      <c r="J53" s="373"/>
      <c r="K53" s="374"/>
      <c r="L53" s="373"/>
      <c r="M53" s="373"/>
      <c r="N53" s="373"/>
      <c r="O53" s="373"/>
      <c r="P53" s="373"/>
      <c r="Q53" s="373"/>
      <c r="R53" s="373"/>
      <c r="S53" s="373"/>
      <c r="T53" s="373"/>
      <c r="U53" s="373"/>
      <c r="V53" s="373"/>
    </row>
    <row r="54" spans="6:22" ht="58.5" customHeight="1" x14ac:dyDescent="0.3">
      <c r="F54" s="373"/>
      <c r="G54" s="373"/>
      <c r="H54" s="373"/>
      <c r="I54" s="373"/>
      <c r="J54" s="373"/>
      <c r="K54" s="374"/>
      <c r="L54" s="373"/>
      <c r="M54" s="373"/>
      <c r="N54" s="373"/>
      <c r="O54" s="373"/>
      <c r="P54" s="373"/>
      <c r="Q54" s="373"/>
      <c r="R54" s="373"/>
      <c r="S54" s="373"/>
      <c r="T54" s="373"/>
      <c r="U54" s="373"/>
      <c r="V54" s="373"/>
    </row>
    <row r="55" spans="6:22" ht="58.5" customHeight="1" x14ac:dyDescent="0.3">
      <c r="F55" s="373"/>
      <c r="G55" s="373"/>
      <c r="H55" s="373"/>
      <c r="I55" s="373"/>
      <c r="J55" s="373"/>
      <c r="K55" s="374"/>
      <c r="L55" s="373"/>
      <c r="M55" s="373"/>
      <c r="N55" s="373"/>
      <c r="O55" s="373"/>
      <c r="P55" s="373"/>
      <c r="Q55" s="373"/>
      <c r="R55" s="373"/>
      <c r="S55" s="373"/>
      <c r="T55" s="373"/>
      <c r="U55" s="373"/>
      <c r="V55" s="373"/>
    </row>
    <row r="56" spans="6:22" ht="58.5" customHeight="1" x14ac:dyDescent="0.3">
      <c r="F56" s="373"/>
      <c r="G56" s="373"/>
      <c r="H56" s="373"/>
      <c r="I56" s="373"/>
      <c r="J56" s="373"/>
      <c r="K56" s="374"/>
      <c r="L56" s="373"/>
      <c r="M56" s="373"/>
      <c r="N56" s="373"/>
      <c r="O56" s="373"/>
      <c r="P56" s="373"/>
      <c r="Q56" s="373"/>
      <c r="R56" s="373"/>
      <c r="S56" s="373"/>
      <c r="T56" s="373"/>
      <c r="U56" s="373"/>
      <c r="V56" s="373"/>
    </row>
    <row r="57" spans="6:22" ht="58.5" customHeight="1" x14ac:dyDescent="0.3">
      <c r="F57" s="373"/>
      <c r="G57" s="373"/>
      <c r="H57" s="373"/>
      <c r="I57" s="373"/>
      <c r="J57" s="373"/>
      <c r="K57" s="374"/>
      <c r="L57" s="373"/>
      <c r="M57" s="373"/>
      <c r="N57" s="373"/>
      <c r="O57" s="373"/>
      <c r="P57" s="373"/>
      <c r="Q57" s="373"/>
      <c r="R57" s="373"/>
      <c r="S57" s="373"/>
      <c r="T57" s="373"/>
      <c r="U57" s="373"/>
      <c r="V57" s="373"/>
    </row>
    <row r="58" spans="6:22" ht="58.5" customHeight="1" x14ac:dyDescent="0.3">
      <c r="F58" s="373"/>
      <c r="G58" s="373"/>
      <c r="H58" s="373"/>
      <c r="I58" s="373"/>
      <c r="J58" s="373"/>
      <c r="K58" s="374"/>
      <c r="L58" s="373"/>
      <c r="M58" s="373"/>
      <c r="N58" s="373"/>
      <c r="O58" s="373"/>
      <c r="P58" s="373"/>
      <c r="Q58" s="373"/>
      <c r="R58" s="373"/>
      <c r="S58" s="373"/>
      <c r="T58" s="373"/>
      <c r="U58" s="373"/>
      <c r="V58" s="373"/>
    </row>
    <row r="59" spans="6:22" ht="58.5" customHeight="1" x14ac:dyDescent="0.3">
      <c r="F59" s="373"/>
      <c r="G59" s="373"/>
      <c r="H59" s="373"/>
      <c r="I59" s="373"/>
      <c r="J59" s="373"/>
      <c r="K59" s="374"/>
      <c r="L59" s="373"/>
      <c r="M59" s="373"/>
      <c r="N59" s="373"/>
      <c r="O59" s="373"/>
      <c r="P59" s="373"/>
      <c r="Q59" s="373"/>
      <c r="R59" s="373"/>
      <c r="S59" s="373"/>
      <c r="T59" s="373"/>
      <c r="U59" s="373"/>
      <c r="V59" s="373"/>
    </row>
    <row r="60" spans="6:22" ht="58.5" customHeight="1" x14ac:dyDescent="0.3">
      <c r="F60" s="373"/>
      <c r="G60" s="373"/>
      <c r="H60" s="373"/>
      <c r="I60" s="373"/>
      <c r="J60" s="373"/>
      <c r="K60" s="374"/>
      <c r="L60" s="373"/>
      <c r="M60" s="373"/>
      <c r="N60" s="373"/>
      <c r="O60" s="373"/>
      <c r="P60" s="373"/>
      <c r="Q60" s="373"/>
      <c r="R60" s="373"/>
      <c r="S60" s="373"/>
      <c r="T60" s="373"/>
      <c r="U60" s="373"/>
      <c r="V60" s="373"/>
    </row>
    <row r="61" spans="6:22" ht="58.5" customHeight="1" x14ac:dyDescent="0.3">
      <c r="F61" s="373"/>
      <c r="G61" s="373"/>
      <c r="H61" s="373"/>
      <c r="I61" s="373"/>
      <c r="J61" s="373"/>
      <c r="K61" s="374"/>
      <c r="L61" s="373"/>
      <c r="M61" s="373"/>
      <c r="N61" s="373"/>
      <c r="O61" s="373"/>
      <c r="P61" s="373"/>
      <c r="Q61" s="373"/>
      <c r="R61" s="373"/>
      <c r="S61" s="373"/>
      <c r="T61" s="373"/>
      <c r="U61" s="373"/>
      <c r="V61" s="373"/>
    </row>
    <row r="62" spans="6:22" ht="58.5" customHeight="1" x14ac:dyDescent="0.3">
      <c r="F62" s="373"/>
      <c r="G62" s="373"/>
      <c r="H62" s="373"/>
      <c r="I62" s="373"/>
      <c r="J62" s="373"/>
      <c r="K62" s="374"/>
      <c r="L62" s="373"/>
      <c r="M62" s="373"/>
      <c r="N62" s="373"/>
      <c r="O62" s="373"/>
      <c r="P62" s="373"/>
      <c r="Q62" s="373"/>
      <c r="R62" s="373"/>
      <c r="S62" s="373"/>
      <c r="T62" s="373"/>
      <c r="U62" s="373"/>
      <c r="V62" s="373"/>
    </row>
    <row r="63" spans="6:22" ht="58.5" customHeight="1" x14ac:dyDescent="0.3">
      <c r="F63" s="373"/>
      <c r="G63" s="373"/>
      <c r="H63" s="373"/>
      <c r="I63" s="373"/>
      <c r="J63" s="373"/>
      <c r="K63" s="374"/>
      <c r="L63" s="373"/>
      <c r="M63" s="373"/>
      <c r="N63" s="373"/>
      <c r="O63" s="373"/>
      <c r="P63" s="373"/>
      <c r="Q63" s="373"/>
      <c r="R63" s="373"/>
      <c r="S63" s="373"/>
      <c r="T63" s="373"/>
      <c r="U63" s="373"/>
      <c r="V63" s="373"/>
    </row>
    <row r="64" spans="6:22" ht="58.5" customHeight="1" x14ac:dyDescent="0.3">
      <c r="F64" s="373"/>
      <c r="G64" s="373"/>
      <c r="H64" s="373"/>
      <c r="I64" s="373"/>
      <c r="J64" s="373"/>
      <c r="K64" s="374"/>
      <c r="L64" s="373"/>
      <c r="M64" s="373"/>
      <c r="N64" s="373"/>
      <c r="O64" s="373"/>
      <c r="P64" s="373"/>
      <c r="Q64" s="373"/>
      <c r="R64" s="373"/>
      <c r="S64" s="373"/>
      <c r="T64" s="373"/>
      <c r="U64" s="373"/>
      <c r="V64" s="373"/>
    </row>
    <row r="65" spans="6:22" ht="58.5" customHeight="1" x14ac:dyDescent="0.3">
      <c r="F65" s="373"/>
      <c r="G65" s="373"/>
      <c r="H65" s="373"/>
      <c r="I65" s="373"/>
      <c r="J65" s="373"/>
      <c r="K65" s="374"/>
      <c r="L65" s="373"/>
      <c r="M65" s="373"/>
      <c r="N65" s="373"/>
      <c r="O65" s="373"/>
      <c r="P65" s="373"/>
      <c r="Q65" s="373"/>
      <c r="R65" s="373"/>
      <c r="S65" s="373"/>
      <c r="T65" s="373"/>
      <c r="U65" s="373"/>
      <c r="V65" s="373"/>
    </row>
    <row r="66" spans="6:22" ht="58.5" customHeight="1" x14ac:dyDescent="0.3">
      <c r="F66" s="373"/>
      <c r="G66" s="373"/>
      <c r="H66" s="373"/>
      <c r="I66" s="373"/>
      <c r="J66" s="373"/>
      <c r="K66" s="374"/>
      <c r="L66" s="373"/>
      <c r="M66" s="373"/>
      <c r="N66" s="373"/>
      <c r="O66" s="373"/>
      <c r="P66" s="373"/>
      <c r="Q66" s="373"/>
      <c r="R66" s="373"/>
      <c r="S66" s="373"/>
      <c r="T66" s="373"/>
      <c r="U66" s="373"/>
      <c r="V66" s="373"/>
    </row>
    <row r="67" spans="6:22" ht="58.5" customHeight="1" x14ac:dyDescent="0.3">
      <c r="F67" s="373"/>
      <c r="G67" s="373"/>
      <c r="H67" s="373"/>
      <c r="I67" s="373"/>
      <c r="J67" s="373"/>
      <c r="K67" s="374"/>
      <c r="L67" s="373"/>
      <c r="M67" s="373"/>
      <c r="N67" s="373"/>
      <c r="O67" s="373"/>
      <c r="P67" s="373"/>
      <c r="Q67" s="373"/>
      <c r="R67" s="373"/>
      <c r="S67" s="373"/>
      <c r="T67" s="373"/>
      <c r="U67" s="373"/>
      <c r="V67" s="373"/>
    </row>
    <row r="68" spans="6:22" ht="58.5" customHeight="1" x14ac:dyDescent="0.3">
      <c r="F68" s="373"/>
      <c r="G68" s="373"/>
      <c r="H68" s="373"/>
      <c r="I68" s="373"/>
      <c r="J68" s="373"/>
      <c r="K68" s="374"/>
      <c r="L68" s="373"/>
      <c r="M68" s="373"/>
      <c r="N68" s="373"/>
      <c r="O68" s="373"/>
      <c r="P68" s="373"/>
      <c r="Q68" s="373"/>
      <c r="R68" s="373"/>
      <c r="S68" s="373"/>
      <c r="T68" s="373"/>
      <c r="U68" s="373"/>
      <c r="V68" s="373"/>
    </row>
    <row r="69" spans="6:22" ht="58.5" customHeight="1" x14ac:dyDescent="0.3">
      <c r="F69" s="373"/>
      <c r="G69" s="373"/>
      <c r="H69" s="373"/>
      <c r="I69" s="373"/>
      <c r="J69" s="373"/>
      <c r="K69" s="374"/>
      <c r="L69" s="373"/>
      <c r="M69" s="373"/>
      <c r="N69" s="373"/>
      <c r="O69" s="373"/>
      <c r="P69" s="373"/>
      <c r="Q69" s="373"/>
      <c r="R69" s="373"/>
      <c r="S69" s="373"/>
      <c r="T69" s="373"/>
      <c r="U69" s="373"/>
      <c r="V69" s="373"/>
    </row>
    <row r="70" spans="6:22" ht="58.5" customHeight="1" x14ac:dyDescent="0.3">
      <c r="F70" s="373"/>
      <c r="G70" s="373"/>
      <c r="H70" s="373"/>
      <c r="I70" s="373"/>
      <c r="J70" s="373"/>
      <c r="K70" s="374"/>
      <c r="L70" s="373"/>
      <c r="M70" s="373"/>
      <c r="N70" s="373"/>
      <c r="O70" s="373"/>
      <c r="P70" s="373"/>
      <c r="Q70" s="373"/>
      <c r="R70" s="373"/>
      <c r="S70" s="373"/>
      <c r="T70" s="373"/>
      <c r="U70" s="373"/>
      <c r="V70" s="373"/>
    </row>
    <row r="71" spans="6:22" ht="58.5" customHeight="1" x14ac:dyDescent="0.3">
      <c r="F71" s="373"/>
      <c r="G71" s="373"/>
      <c r="H71" s="373"/>
      <c r="I71" s="373"/>
      <c r="J71" s="373"/>
      <c r="K71" s="374"/>
      <c r="L71" s="373"/>
      <c r="M71" s="373"/>
      <c r="N71" s="373"/>
      <c r="O71" s="373"/>
      <c r="P71" s="373"/>
      <c r="Q71" s="373"/>
      <c r="R71" s="373"/>
      <c r="S71" s="373"/>
      <c r="T71" s="373"/>
      <c r="U71" s="373"/>
      <c r="V71" s="373"/>
    </row>
    <row r="72" spans="6:22" ht="58.5" customHeight="1" x14ac:dyDescent="0.3">
      <c r="F72" s="373"/>
      <c r="G72" s="373"/>
      <c r="H72" s="373"/>
      <c r="I72" s="373"/>
      <c r="J72" s="373"/>
      <c r="K72" s="374"/>
      <c r="L72" s="373"/>
      <c r="M72" s="373"/>
      <c r="N72" s="373"/>
      <c r="O72" s="373"/>
      <c r="P72" s="373"/>
      <c r="Q72" s="373"/>
      <c r="R72" s="373"/>
      <c r="S72" s="373"/>
      <c r="T72" s="373"/>
      <c r="U72" s="373"/>
      <c r="V72" s="373"/>
    </row>
    <row r="73" spans="6:22" ht="58.5" customHeight="1" x14ac:dyDescent="0.3">
      <c r="F73" s="373"/>
      <c r="G73" s="373"/>
      <c r="H73" s="373"/>
      <c r="I73" s="373"/>
      <c r="J73" s="373"/>
      <c r="K73" s="374"/>
      <c r="L73" s="373"/>
      <c r="M73" s="373"/>
      <c r="N73" s="373"/>
      <c r="O73" s="373"/>
      <c r="P73" s="373"/>
      <c r="Q73" s="373"/>
      <c r="R73" s="373"/>
      <c r="S73" s="373"/>
      <c r="T73" s="373"/>
      <c r="U73" s="373"/>
      <c r="V73" s="373"/>
    </row>
    <row r="74" spans="6:22" ht="58.5" customHeight="1" x14ac:dyDescent="0.3">
      <c r="F74" s="373"/>
      <c r="G74" s="373"/>
      <c r="H74" s="373"/>
      <c r="I74" s="373"/>
      <c r="J74" s="373"/>
      <c r="K74" s="374"/>
      <c r="L74" s="373"/>
      <c r="M74" s="373"/>
      <c r="N74" s="373"/>
      <c r="O74" s="373"/>
      <c r="P74" s="373"/>
      <c r="Q74" s="373"/>
      <c r="R74" s="373"/>
      <c r="S74" s="373"/>
      <c r="T74" s="373"/>
      <c r="U74" s="373"/>
      <c r="V74" s="373"/>
    </row>
    <row r="75" spans="6:22" ht="58.5" customHeight="1" x14ac:dyDescent="0.3">
      <c r="F75" s="373"/>
      <c r="G75" s="373"/>
      <c r="H75" s="373"/>
      <c r="I75" s="373"/>
      <c r="J75" s="373"/>
      <c r="K75" s="374"/>
      <c r="L75" s="373"/>
      <c r="M75" s="373"/>
      <c r="N75" s="373"/>
      <c r="O75" s="373"/>
      <c r="P75" s="373"/>
      <c r="Q75" s="373"/>
      <c r="R75" s="373"/>
      <c r="S75" s="373"/>
      <c r="T75" s="373"/>
      <c r="U75" s="373"/>
      <c r="V75" s="373"/>
    </row>
    <row r="76" spans="6:22" ht="58.5" customHeight="1" x14ac:dyDescent="0.3">
      <c r="F76" s="373"/>
      <c r="G76" s="373"/>
      <c r="H76" s="373"/>
      <c r="I76" s="373"/>
      <c r="J76" s="373"/>
      <c r="K76" s="374"/>
      <c r="L76" s="373"/>
      <c r="M76" s="373"/>
      <c r="N76" s="373"/>
      <c r="O76" s="373"/>
      <c r="P76" s="373"/>
      <c r="Q76" s="373"/>
      <c r="R76" s="373"/>
      <c r="S76" s="373"/>
      <c r="T76" s="373"/>
      <c r="U76" s="373"/>
      <c r="V76" s="373"/>
    </row>
    <row r="77" spans="6:22" ht="58.5" customHeight="1" x14ac:dyDescent="0.3">
      <c r="F77" s="373"/>
      <c r="G77" s="373"/>
      <c r="H77" s="373"/>
      <c r="I77" s="373"/>
      <c r="J77" s="373"/>
      <c r="K77" s="374"/>
      <c r="L77" s="373"/>
      <c r="M77" s="373"/>
      <c r="N77" s="373"/>
      <c r="O77" s="373"/>
      <c r="P77" s="373"/>
      <c r="Q77" s="373"/>
      <c r="R77" s="373"/>
      <c r="S77" s="373"/>
      <c r="T77" s="373"/>
      <c r="U77" s="373"/>
      <c r="V77" s="373"/>
    </row>
    <row r="78" spans="6:22" ht="58.5" customHeight="1" x14ac:dyDescent="0.3">
      <c r="F78" s="373"/>
      <c r="G78" s="373"/>
      <c r="H78" s="373"/>
      <c r="I78" s="373"/>
      <c r="J78" s="373"/>
      <c r="K78" s="374"/>
      <c r="L78" s="373"/>
      <c r="M78" s="373"/>
      <c r="N78" s="373"/>
      <c r="O78" s="373"/>
      <c r="P78" s="373"/>
      <c r="Q78" s="373"/>
      <c r="R78" s="373"/>
      <c r="S78" s="373"/>
      <c r="T78" s="373"/>
      <c r="U78" s="373"/>
      <c r="V78" s="373"/>
    </row>
    <row r="79" spans="6:22" ht="58.5" customHeight="1" x14ac:dyDescent="0.3">
      <c r="F79" s="373"/>
      <c r="G79" s="373"/>
      <c r="H79" s="373"/>
      <c r="I79" s="373"/>
      <c r="J79" s="373"/>
      <c r="K79" s="374"/>
      <c r="L79" s="373"/>
      <c r="M79" s="373"/>
      <c r="N79" s="373"/>
      <c r="O79" s="373"/>
      <c r="P79" s="373"/>
      <c r="Q79" s="373"/>
      <c r="R79" s="373"/>
      <c r="S79" s="373"/>
      <c r="T79" s="373"/>
      <c r="U79" s="373"/>
      <c r="V79" s="373"/>
    </row>
    <row r="80" spans="6:22" ht="58.5" customHeight="1" x14ac:dyDescent="0.3">
      <c r="F80" s="373"/>
      <c r="G80" s="373"/>
      <c r="H80" s="373"/>
      <c r="I80" s="373"/>
      <c r="J80" s="373"/>
      <c r="K80" s="374"/>
      <c r="L80" s="373"/>
      <c r="M80" s="373"/>
      <c r="N80" s="373"/>
      <c r="O80" s="373"/>
      <c r="P80" s="373"/>
      <c r="Q80" s="373"/>
      <c r="R80" s="373"/>
      <c r="S80" s="373"/>
      <c r="T80" s="373"/>
      <c r="U80" s="373"/>
      <c r="V80" s="373"/>
    </row>
    <row r="81" spans="6:22" ht="58.5" customHeight="1" x14ac:dyDescent="0.3">
      <c r="F81" s="373"/>
      <c r="G81" s="373"/>
      <c r="H81" s="373"/>
      <c r="I81" s="373"/>
      <c r="J81" s="373"/>
      <c r="K81" s="374"/>
      <c r="L81" s="373"/>
      <c r="M81" s="373"/>
      <c r="N81" s="373"/>
      <c r="O81" s="373"/>
      <c r="P81" s="373"/>
      <c r="Q81" s="373"/>
      <c r="R81" s="373"/>
      <c r="S81" s="373"/>
      <c r="T81" s="373"/>
      <c r="U81" s="373"/>
      <c r="V81" s="373"/>
    </row>
    <row r="82" spans="6:22" ht="58.5" customHeight="1" x14ac:dyDescent="0.3">
      <c r="F82" s="373"/>
      <c r="G82" s="373"/>
      <c r="H82" s="373"/>
      <c r="I82" s="373"/>
      <c r="J82" s="373"/>
      <c r="K82" s="374"/>
      <c r="L82" s="373"/>
      <c r="M82" s="373"/>
      <c r="N82" s="373"/>
      <c r="O82" s="373"/>
      <c r="P82" s="373"/>
      <c r="Q82" s="373"/>
      <c r="R82" s="373"/>
      <c r="S82" s="373"/>
      <c r="T82" s="373"/>
      <c r="U82" s="373"/>
      <c r="V82" s="373"/>
    </row>
    <row r="83" spans="6:22" ht="58.5" customHeight="1" x14ac:dyDescent="0.3">
      <c r="F83" s="373"/>
      <c r="G83" s="373"/>
      <c r="H83" s="373"/>
      <c r="I83" s="373"/>
      <c r="J83" s="373"/>
      <c r="K83" s="374"/>
      <c r="L83" s="373"/>
      <c r="M83" s="373"/>
      <c r="N83" s="373"/>
      <c r="O83" s="373"/>
      <c r="P83" s="373"/>
      <c r="Q83" s="373"/>
      <c r="R83" s="373"/>
      <c r="S83" s="373"/>
      <c r="T83" s="373"/>
      <c r="U83" s="373"/>
      <c r="V83" s="373"/>
    </row>
    <row r="84" spans="6:22" ht="58.5" customHeight="1" x14ac:dyDescent="0.3">
      <c r="F84" s="373"/>
      <c r="G84" s="373"/>
      <c r="H84" s="373"/>
      <c r="I84" s="373"/>
      <c r="J84" s="373"/>
      <c r="K84" s="374"/>
      <c r="L84" s="373"/>
      <c r="M84" s="373"/>
      <c r="N84" s="373"/>
      <c r="O84" s="373"/>
      <c r="P84" s="373"/>
      <c r="Q84" s="373"/>
      <c r="R84" s="373"/>
      <c r="S84" s="373"/>
      <c r="T84" s="373"/>
      <c r="U84" s="373"/>
      <c r="V84" s="373"/>
    </row>
    <row r="85" spans="6:22" ht="58.5" customHeight="1" x14ac:dyDescent="0.3">
      <c r="F85" s="373"/>
      <c r="G85" s="373"/>
      <c r="H85" s="373"/>
      <c r="I85" s="373"/>
      <c r="J85" s="373"/>
      <c r="K85" s="374"/>
      <c r="L85" s="373"/>
      <c r="M85" s="373"/>
      <c r="N85" s="373"/>
      <c r="O85" s="373"/>
      <c r="P85" s="373"/>
      <c r="Q85" s="373"/>
      <c r="R85" s="373"/>
      <c r="S85" s="373"/>
      <c r="T85" s="373"/>
      <c r="U85" s="373"/>
      <c r="V85" s="373"/>
    </row>
    <row r="86" spans="6:22" ht="58.5" customHeight="1" x14ac:dyDescent="0.3">
      <c r="F86" s="373"/>
      <c r="G86" s="373"/>
      <c r="H86" s="373"/>
      <c r="I86" s="373"/>
      <c r="J86" s="373"/>
      <c r="K86" s="374"/>
      <c r="L86" s="373"/>
      <c r="M86" s="373"/>
      <c r="N86" s="373"/>
      <c r="O86" s="373"/>
      <c r="P86" s="373"/>
      <c r="Q86" s="373"/>
      <c r="R86" s="373"/>
      <c r="S86" s="373"/>
      <c r="T86" s="373"/>
      <c r="U86" s="373"/>
      <c r="V86" s="373"/>
    </row>
    <row r="87" spans="6:22" ht="58.5" customHeight="1" x14ac:dyDescent="0.3">
      <c r="F87" s="373"/>
      <c r="G87" s="373"/>
      <c r="H87" s="373"/>
      <c r="I87" s="373"/>
      <c r="J87" s="373"/>
      <c r="K87" s="374"/>
      <c r="L87" s="373"/>
      <c r="M87" s="373"/>
      <c r="N87" s="373"/>
      <c r="O87" s="373"/>
      <c r="P87" s="373"/>
      <c r="Q87" s="373"/>
      <c r="R87" s="373"/>
      <c r="S87" s="373"/>
      <c r="T87" s="373"/>
      <c r="U87" s="373"/>
      <c r="V87" s="373"/>
    </row>
    <row r="88" spans="6:22" ht="58.5" customHeight="1" x14ac:dyDescent="0.3">
      <c r="F88" s="373"/>
      <c r="G88" s="373"/>
      <c r="H88" s="373"/>
      <c r="I88" s="373"/>
      <c r="J88" s="373"/>
      <c r="K88" s="374"/>
      <c r="L88" s="373"/>
      <c r="M88" s="373"/>
      <c r="N88" s="373"/>
      <c r="O88" s="373"/>
      <c r="P88" s="373"/>
      <c r="Q88" s="373"/>
      <c r="R88" s="373"/>
      <c r="S88" s="373"/>
      <c r="T88" s="373"/>
      <c r="U88" s="373"/>
      <c r="V88" s="373"/>
    </row>
    <row r="89" spans="6:22" ht="58.5" customHeight="1" x14ac:dyDescent="0.3">
      <c r="F89" s="373"/>
      <c r="G89" s="373"/>
      <c r="H89" s="373"/>
      <c r="I89" s="373"/>
      <c r="J89" s="373"/>
      <c r="K89" s="374"/>
      <c r="L89" s="373"/>
      <c r="M89" s="373"/>
      <c r="N89" s="373"/>
      <c r="O89" s="373"/>
      <c r="P89" s="373"/>
      <c r="Q89" s="373"/>
      <c r="R89" s="373"/>
      <c r="S89" s="373"/>
      <c r="T89" s="373"/>
      <c r="U89" s="373"/>
      <c r="V89" s="373"/>
    </row>
    <row r="90" spans="6:22" ht="58.5" customHeight="1" x14ac:dyDescent="0.3">
      <c r="F90" s="373"/>
      <c r="G90" s="373"/>
      <c r="H90" s="373"/>
      <c r="I90" s="373"/>
      <c r="J90" s="373"/>
      <c r="K90" s="374"/>
      <c r="L90" s="373"/>
      <c r="M90" s="373"/>
      <c r="N90" s="373"/>
      <c r="O90" s="373"/>
      <c r="P90" s="373"/>
      <c r="Q90" s="373"/>
      <c r="R90" s="373"/>
      <c r="S90" s="373"/>
      <c r="T90" s="373"/>
      <c r="U90" s="373"/>
      <c r="V90" s="373"/>
    </row>
    <row r="91" spans="6:22" ht="58.5" customHeight="1" x14ac:dyDescent="0.3">
      <c r="F91" s="373"/>
      <c r="G91" s="373"/>
      <c r="H91" s="373"/>
      <c r="I91" s="373"/>
      <c r="J91" s="373"/>
      <c r="K91" s="374"/>
      <c r="L91" s="373"/>
      <c r="M91" s="373"/>
      <c r="N91" s="373"/>
      <c r="O91" s="373"/>
      <c r="P91" s="373"/>
      <c r="Q91" s="373"/>
      <c r="R91" s="373"/>
      <c r="S91" s="373"/>
      <c r="T91" s="373"/>
      <c r="U91" s="373"/>
      <c r="V91" s="373"/>
    </row>
    <row r="92" spans="6:22" ht="58.5" customHeight="1" x14ac:dyDescent="0.3">
      <c r="F92" s="373"/>
      <c r="G92" s="373"/>
      <c r="H92" s="373"/>
      <c r="I92" s="373"/>
      <c r="J92" s="373"/>
      <c r="K92" s="374"/>
      <c r="L92" s="373"/>
      <c r="M92" s="373"/>
      <c r="N92" s="373"/>
      <c r="O92" s="373"/>
      <c r="P92" s="373"/>
      <c r="Q92" s="373"/>
      <c r="R92" s="373"/>
      <c r="S92" s="373"/>
      <c r="T92" s="373"/>
      <c r="U92" s="373"/>
      <c r="V92" s="373"/>
    </row>
    <row r="93" spans="6:22" ht="58.5" customHeight="1" x14ac:dyDescent="0.3">
      <c r="F93" s="373"/>
      <c r="G93" s="373"/>
      <c r="H93" s="373"/>
      <c r="I93" s="373"/>
      <c r="J93" s="373"/>
      <c r="K93" s="374"/>
      <c r="L93" s="373"/>
      <c r="M93" s="373"/>
      <c r="N93" s="373"/>
      <c r="O93" s="373"/>
      <c r="P93" s="373"/>
      <c r="Q93" s="373"/>
      <c r="R93" s="373"/>
      <c r="S93" s="373"/>
      <c r="T93" s="373"/>
      <c r="U93" s="373"/>
      <c r="V93" s="373"/>
    </row>
    <row r="94" spans="6:22" ht="58.5" customHeight="1" x14ac:dyDescent="0.3">
      <c r="F94" s="373"/>
      <c r="G94" s="373"/>
      <c r="H94" s="373"/>
      <c r="I94" s="373"/>
      <c r="J94" s="373"/>
      <c r="K94" s="374"/>
      <c r="L94" s="373"/>
      <c r="M94" s="373"/>
      <c r="N94" s="373"/>
      <c r="O94" s="373"/>
      <c r="P94" s="373"/>
      <c r="Q94" s="373"/>
      <c r="R94" s="373"/>
      <c r="S94" s="373"/>
      <c r="T94" s="373"/>
      <c r="U94" s="373"/>
      <c r="V94" s="373"/>
    </row>
    <row r="95" spans="6:22" ht="58.5" customHeight="1" x14ac:dyDescent="0.3">
      <c r="F95" s="373"/>
      <c r="G95" s="373"/>
      <c r="H95" s="373"/>
      <c r="I95" s="373"/>
      <c r="J95" s="373"/>
      <c r="K95" s="374"/>
      <c r="L95" s="373"/>
      <c r="M95" s="373"/>
      <c r="N95" s="373"/>
      <c r="O95" s="373"/>
      <c r="P95" s="373"/>
      <c r="Q95" s="373"/>
      <c r="R95" s="373"/>
      <c r="S95" s="373"/>
      <c r="T95" s="373"/>
      <c r="U95" s="373"/>
      <c r="V95" s="373"/>
    </row>
    <row r="96" spans="6:22" ht="58.5" customHeight="1" x14ac:dyDescent="0.3">
      <c r="F96" s="373"/>
      <c r="G96" s="373"/>
      <c r="H96" s="373"/>
      <c r="I96" s="373"/>
      <c r="J96" s="373"/>
      <c r="K96" s="374"/>
      <c r="L96" s="373"/>
      <c r="M96" s="373"/>
      <c r="N96" s="373"/>
      <c r="O96" s="373"/>
      <c r="P96" s="373"/>
      <c r="Q96" s="373"/>
      <c r="R96" s="373"/>
      <c r="S96" s="373"/>
      <c r="T96" s="373"/>
      <c r="U96" s="373"/>
      <c r="V96" s="373"/>
    </row>
    <row r="97" spans="6:22" ht="58.5" customHeight="1" x14ac:dyDescent="0.3">
      <c r="F97" s="373"/>
      <c r="G97" s="373"/>
      <c r="H97" s="373"/>
      <c r="I97" s="373"/>
      <c r="J97" s="373"/>
      <c r="K97" s="374"/>
      <c r="L97" s="373"/>
      <c r="M97" s="373"/>
      <c r="N97" s="373"/>
      <c r="O97" s="373"/>
      <c r="P97" s="373"/>
      <c r="Q97" s="373"/>
      <c r="R97" s="373"/>
      <c r="S97" s="373"/>
      <c r="T97" s="373"/>
      <c r="U97" s="373"/>
      <c r="V97" s="373"/>
    </row>
    <row r="98" spans="6:22" ht="58.5" customHeight="1" x14ac:dyDescent="0.3">
      <c r="F98" s="373"/>
      <c r="G98" s="373"/>
      <c r="H98" s="373"/>
      <c r="I98" s="373"/>
      <c r="J98" s="373"/>
      <c r="K98" s="374"/>
      <c r="L98" s="373"/>
      <c r="M98" s="373"/>
      <c r="N98" s="373"/>
      <c r="O98" s="373"/>
      <c r="P98" s="373"/>
      <c r="Q98" s="373"/>
      <c r="R98" s="373"/>
      <c r="S98" s="373"/>
      <c r="T98" s="373"/>
      <c r="U98" s="373"/>
      <c r="V98" s="373"/>
    </row>
    <row r="99" spans="6:22" ht="58.5" customHeight="1" x14ac:dyDescent="0.3">
      <c r="F99" s="373"/>
      <c r="G99" s="373"/>
      <c r="H99" s="373"/>
      <c r="I99" s="373"/>
      <c r="J99" s="373"/>
      <c r="K99" s="374"/>
      <c r="L99" s="373"/>
      <c r="M99" s="373"/>
      <c r="N99" s="373"/>
      <c r="O99" s="373"/>
      <c r="P99" s="373"/>
      <c r="Q99" s="373"/>
      <c r="R99" s="373"/>
      <c r="S99" s="373"/>
      <c r="T99" s="373"/>
      <c r="U99" s="373"/>
      <c r="V99" s="373"/>
    </row>
    <row r="100" spans="6:22" ht="58.5" customHeight="1" x14ac:dyDescent="0.3">
      <c r="F100" s="373"/>
      <c r="G100" s="373"/>
      <c r="H100" s="373"/>
      <c r="I100" s="373"/>
      <c r="J100" s="373"/>
      <c r="K100" s="374"/>
      <c r="L100" s="373"/>
      <c r="M100" s="373"/>
      <c r="N100" s="373"/>
      <c r="O100" s="373"/>
      <c r="P100" s="373"/>
      <c r="Q100" s="373"/>
      <c r="R100" s="373"/>
      <c r="S100" s="373"/>
      <c r="T100" s="373"/>
      <c r="U100" s="373"/>
      <c r="V100" s="373"/>
    </row>
    <row r="101" spans="6:22" ht="58.5" customHeight="1" x14ac:dyDescent="0.3">
      <c r="F101" s="373"/>
      <c r="G101" s="373"/>
      <c r="H101" s="373"/>
      <c r="I101" s="373"/>
      <c r="J101" s="373"/>
      <c r="K101" s="374"/>
      <c r="L101" s="373"/>
      <c r="M101" s="373"/>
      <c r="N101" s="373"/>
      <c r="O101" s="373"/>
      <c r="P101" s="373"/>
      <c r="Q101" s="373"/>
      <c r="R101" s="373"/>
      <c r="S101" s="373"/>
      <c r="T101" s="373"/>
      <c r="U101" s="373"/>
      <c r="V101" s="373"/>
    </row>
    <row r="102" spans="6:22" ht="58.5" customHeight="1" x14ac:dyDescent="0.3">
      <c r="F102" s="373"/>
      <c r="G102" s="373"/>
      <c r="H102" s="373"/>
      <c r="I102" s="373"/>
      <c r="J102" s="373"/>
      <c r="K102" s="374"/>
      <c r="L102" s="373"/>
      <c r="M102" s="373"/>
      <c r="N102" s="373"/>
      <c r="O102" s="373"/>
      <c r="P102" s="373"/>
      <c r="Q102" s="373"/>
      <c r="R102" s="373"/>
      <c r="S102" s="373"/>
      <c r="T102" s="373"/>
      <c r="U102" s="373"/>
      <c r="V102" s="373"/>
    </row>
    <row r="103" spans="6:22" ht="58.5" customHeight="1" x14ac:dyDescent="0.3">
      <c r="F103" s="373"/>
      <c r="G103" s="373"/>
      <c r="H103" s="373"/>
      <c r="I103" s="373"/>
      <c r="J103" s="373"/>
      <c r="K103" s="374"/>
      <c r="L103" s="373"/>
      <c r="M103" s="373"/>
      <c r="N103" s="373"/>
      <c r="O103" s="373"/>
      <c r="P103" s="373"/>
      <c r="Q103" s="373"/>
      <c r="R103" s="373"/>
      <c r="S103" s="373"/>
      <c r="T103" s="373"/>
      <c r="U103" s="373"/>
      <c r="V103" s="373"/>
    </row>
    <row r="104" spans="6:22" ht="58.5" customHeight="1" x14ac:dyDescent="0.3">
      <c r="F104" s="373"/>
      <c r="G104" s="373"/>
      <c r="H104" s="373"/>
      <c r="I104" s="373"/>
      <c r="J104" s="373"/>
      <c r="K104" s="374"/>
      <c r="L104" s="373"/>
      <c r="M104" s="373"/>
      <c r="N104" s="373"/>
      <c r="O104" s="373"/>
      <c r="P104" s="373"/>
      <c r="Q104" s="373"/>
      <c r="R104" s="373"/>
      <c r="S104" s="373"/>
      <c r="T104" s="373"/>
      <c r="U104" s="373"/>
      <c r="V104" s="373"/>
    </row>
    <row r="105" spans="6:22" ht="58.5" customHeight="1" x14ac:dyDescent="0.3">
      <c r="F105" s="373"/>
      <c r="G105" s="373"/>
      <c r="H105" s="373"/>
      <c r="I105" s="373"/>
      <c r="J105" s="373"/>
      <c r="K105" s="374"/>
      <c r="L105" s="373"/>
      <c r="M105" s="373"/>
      <c r="N105" s="373"/>
      <c r="O105" s="373"/>
      <c r="P105" s="373"/>
      <c r="Q105" s="373"/>
      <c r="R105" s="373"/>
      <c r="S105" s="373"/>
      <c r="T105" s="373"/>
      <c r="U105" s="373"/>
      <c r="V105" s="373"/>
    </row>
    <row r="106" spans="6:22" ht="58.5" customHeight="1" x14ac:dyDescent="0.3">
      <c r="F106" s="373"/>
      <c r="G106" s="373"/>
      <c r="H106" s="373"/>
      <c r="I106" s="373"/>
      <c r="J106" s="373"/>
      <c r="K106" s="374"/>
      <c r="L106" s="373"/>
      <c r="M106" s="373"/>
      <c r="N106" s="373"/>
      <c r="O106" s="373"/>
      <c r="P106" s="373"/>
      <c r="Q106" s="373"/>
      <c r="R106" s="373"/>
      <c r="S106" s="373"/>
      <c r="T106" s="373"/>
      <c r="U106" s="373"/>
      <c r="V106" s="373"/>
    </row>
    <row r="107" spans="6:22" ht="58.5" customHeight="1" x14ac:dyDescent="0.3">
      <c r="F107" s="373"/>
      <c r="G107" s="373"/>
      <c r="H107" s="373"/>
      <c r="I107" s="373"/>
      <c r="J107" s="373"/>
      <c r="K107" s="374"/>
      <c r="L107" s="373"/>
      <c r="M107" s="373"/>
      <c r="N107" s="373"/>
      <c r="O107" s="373"/>
      <c r="P107" s="373"/>
      <c r="Q107" s="373"/>
      <c r="R107" s="373"/>
      <c r="S107" s="373"/>
      <c r="T107" s="373"/>
      <c r="U107" s="373"/>
      <c r="V107" s="373"/>
    </row>
    <row r="108" spans="6:22" ht="58.5" customHeight="1" x14ac:dyDescent="0.3">
      <c r="F108" s="373"/>
      <c r="G108" s="373"/>
      <c r="H108" s="373"/>
      <c r="I108" s="373"/>
      <c r="J108" s="373"/>
      <c r="K108" s="374"/>
      <c r="L108" s="373"/>
      <c r="M108" s="373"/>
      <c r="N108" s="373"/>
      <c r="O108" s="373"/>
      <c r="P108" s="373"/>
      <c r="Q108" s="373"/>
      <c r="R108" s="373"/>
      <c r="S108" s="373"/>
      <c r="T108" s="373"/>
      <c r="U108" s="373"/>
      <c r="V108" s="373"/>
    </row>
    <row r="109" spans="6:22" ht="58.5" customHeight="1" x14ac:dyDescent="0.3">
      <c r="F109" s="373"/>
      <c r="G109" s="373"/>
      <c r="H109" s="373"/>
      <c r="I109" s="373"/>
      <c r="J109" s="373"/>
      <c r="K109" s="374"/>
      <c r="L109" s="373"/>
      <c r="M109" s="373"/>
      <c r="N109" s="373"/>
      <c r="O109" s="373"/>
      <c r="P109" s="373"/>
      <c r="Q109" s="373"/>
      <c r="R109" s="373"/>
      <c r="S109" s="373"/>
      <c r="T109" s="373"/>
      <c r="U109" s="373"/>
      <c r="V109" s="373"/>
    </row>
    <row r="110" spans="6:22" ht="58.5" customHeight="1" x14ac:dyDescent="0.3">
      <c r="F110" s="373"/>
      <c r="G110" s="373"/>
      <c r="H110" s="373"/>
      <c r="I110" s="373"/>
      <c r="J110" s="373"/>
      <c r="K110" s="374"/>
      <c r="L110" s="373"/>
      <c r="M110" s="373"/>
      <c r="N110" s="373"/>
      <c r="O110" s="373"/>
      <c r="P110" s="373"/>
      <c r="Q110" s="373"/>
      <c r="R110" s="373"/>
      <c r="S110" s="373"/>
      <c r="T110" s="373"/>
      <c r="U110" s="373"/>
      <c r="V110" s="373"/>
    </row>
    <row r="111" spans="6:22" ht="58.5" customHeight="1" x14ac:dyDescent="0.3">
      <c r="F111" s="373"/>
      <c r="G111" s="373"/>
      <c r="H111" s="373"/>
      <c r="I111" s="373"/>
      <c r="J111" s="373"/>
      <c r="K111" s="374"/>
      <c r="L111" s="373"/>
      <c r="M111" s="373"/>
      <c r="N111" s="373"/>
      <c r="O111" s="373"/>
      <c r="P111" s="373"/>
      <c r="Q111" s="373"/>
      <c r="R111" s="373"/>
      <c r="S111" s="373"/>
      <c r="T111" s="373"/>
      <c r="U111" s="373"/>
      <c r="V111" s="373"/>
    </row>
    <row r="112" spans="6:22" ht="58.5" customHeight="1" x14ac:dyDescent="0.3">
      <c r="F112" s="373"/>
      <c r="G112" s="373"/>
      <c r="H112" s="373"/>
      <c r="I112" s="373"/>
      <c r="J112" s="373"/>
      <c r="K112" s="374"/>
      <c r="L112" s="373"/>
      <c r="M112" s="373"/>
      <c r="N112" s="373"/>
      <c r="O112" s="373"/>
      <c r="P112" s="373"/>
      <c r="Q112" s="373"/>
      <c r="R112" s="373"/>
      <c r="S112" s="373"/>
      <c r="T112" s="373"/>
      <c r="U112" s="373"/>
      <c r="V112" s="373"/>
    </row>
    <row r="113" spans="6:22" ht="58.5" customHeight="1" x14ac:dyDescent="0.3">
      <c r="F113" s="373"/>
      <c r="G113" s="373"/>
      <c r="H113" s="373"/>
      <c r="I113" s="373"/>
      <c r="J113" s="373"/>
      <c r="K113" s="374"/>
      <c r="L113" s="373"/>
      <c r="M113" s="373"/>
      <c r="N113" s="373"/>
      <c r="O113" s="373"/>
      <c r="P113" s="373"/>
      <c r="Q113" s="373"/>
      <c r="R113" s="373"/>
      <c r="S113" s="373"/>
      <c r="T113" s="373"/>
      <c r="U113" s="373"/>
      <c r="V113" s="373"/>
    </row>
    <row r="114" spans="6:22" ht="58.5" customHeight="1" x14ac:dyDescent="0.3">
      <c r="F114" s="373"/>
      <c r="G114" s="373"/>
      <c r="H114" s="373"/>
      <c r="I114" s="373"/>
      <c r="J114" s="373"/>
      <c r="K114" s="374"/>
      <c r="L114" s="373"/>
      <c r="M114" s="373"/>
      <c r="N114" s="373"/>
      <c r="O114" s="373"/>
      <c r="P114" s="373"/>
      <c r="Q114" s="373"/>
      <c r="R114" s="373"/>
      <c r="S114" s="373"/>
      <c r="T114" s="373"/>
      <c r="U114" s="373"/>
      <c r="V114" s="373"/>
    </row>
    <row r="115" spans="6:22" ht="58.5" customHeight="1" x14ac:dyDescent="0.3">
      <c r="F115" s="373"/>
      <c r="G115" s="373"/>
      <c r="H115" s="373"/>
      <c r="I115" s="373"/>
      <c r="J115" s="373"/>
      <c r="K115" s="374"/>
      <c r="L115" s="373"/>
      <c r="M115" s="373"/>
      <c r="N115" s="373"/>
      <c r="O115" s="373"/>
      <c r="P115" s="373"/>
      <c r="Q115" s="373"/>
      <c r="R115" s="373"/>
      <c r="S115" s="373"/>
      <c r="T115" s="373"/>
      <c r="U115" s="373"/>
      <c r="V115" s="373"/>
    </row>
    <row r="116" spans="6:22" ht="58.5" customHeight="1" x14ac:dyDescent="0.3">
      <c r="F116" s="373"/>
      <c r="G116" s="373"/>
      <c r="H116" s="373"/>
      <c r="I116" s="373"/>
      <c r="J116" s="373"/>
      <c r="K116" s="374"/>
      <c r="L116" s="373"/>
      <c r="M116" s="373"/>
      <c r="N116" s="373"/>
      <c r="O116" s="373"/>
      <c r="P116" s="373"/>
      <c r="Q116" s="373"/>
      <c r="R116" s="373"/>
      <c r="S116" s="373"/>
      <c r="T116" s="373"/>
      <c r="U116" s="373"/>
      <c r="V116" s="373"/>
    </row>
    <row r="117" spans="6:22" ht="58.5" customHeight="1" x14ac:dyDescent="0.3">
      <c r="F117" s="373"/>
      <c r="G117" s="373"/>
      <c r="H117" s="373"/>
      <c r="I117" s="373"/>
      <c r="J117" s="373"/>
      <c r="K117" s="374"/>
      <c r="L117" s="373"/>
      <c r="M117" s="373"/>
      <c r="N117" s="373"/>
      <c r="O117" s="373"/>
      <c r="P117" s="373"/>
      <c r="Q117" s="373"/>
      <c r="R117" s="373"/>
      <c r="S117" s="373"/>
      <c r="T117" s="373"/>
      <c r="U117" s="373"/>
      <c r="V117" s="373"/>
    </row>
    <row r="118" spans="6:22" ht="58.5" customHeight="1" x14ac:dyDescent="0.3">
      <c r="F118" s="373"/>
      <c r="G118" s="373"/>
      <c r="H118" s="373"/>
      <c r="I118" s="373"/>
      <c r="J118" s="373"/>
      <c r="K118" s="374"/>
      <c r="L118" s="373"/>
      <c r="M118" s="373"/>
      <c r="N118" s="373"/>
      <c r="O118" s="373"/>
      <c r="P118" s="373"/>
      <c r="Q118" s="373"/>
      <c r="R118" s="373"/>
      <c r="S118" s="373"/>
      <c r="T118" s="373"/>
      <c r="U118" s="373"/>
      <c r="V118" s="373"/>
    </row>
    <row r="119" spans="6:22" ht="58.5" customHeight="1" x14ac:dyDescent="0.3">
      <c r="F119" s="373"/>
      <c r="G119" s="373"/>
      <c r="H119" s="373"/>
      <c r="I119" s="373"/>
      <c r="J119" s="373"/>
      <c r="K119" s="374"/>
      <c r="L119" s="373"/>
      <c r="M119" s="373"/>
      <c r="N119" s="373"/>
      <c r="O119" s="373"/>
      <c r="P119" s="373"/>
      <c r="Q119" s="373"/>
      <c r="R119" s="373"/>
      <c r="S119" s="373"/>
      <c r="T119" s="373"/>
      <c r="U119" s="373"/>
      <c r="V119" s="373"/>
    </row>
    <row r="120" spans="6:22" ht="58.5" customHeight="1" x14ac:dyDescent="0.3">
      <c r="F120" s="373"/>
      <c r="G120" s="373"/>
      <c r="H120" s="373"/>
      <c r="I120" s="373"/>
      <c r="J120" s="373"/>
      <c r="K120" s="374"/>
      <c r="L120" s="373"/>
      <c r="M120" s="373"/>
      <c r="N120" s="373"/>
      <c r="O120" s="373"/>
      <c r="P120" s="373"/>
      <c r="Q120" s="373"/>
      <c r="R120" s="373"/>
      <c r="S120" s="373"/>
      <c r="T120" s="373"/>
      <c r="U120" s="373"/>
      <c r="V120" s="373"/>
    </row>
    <row r="121" spans="6:22" ht="58.5" customHeight="1" x14ac:dyDescent="0.3">
      <c r="F121" s="373"/>
      <c r="G121" s="373"/>
      <c r="H121" s="373"/>
      <c r="I121" s="373"/>
      <c r="J121" s="373"/>
      <c r="K121" s="374"/>
      <c r="L121" s="373"/>
      <c r="M121" s="373"/>
      <c r="N121" s="373"/>
      <c r="O121" s="373"/>
      <c r="P121" s="373"/>
      <c r="Q121" s="373"/>
      <c r="R121" s="373"/>
      <c r="S121" s="373"/>
      <c r="T121" s="373"/>
      <c r="U121" s="373"/>
      <c r="V121" s="373"/>
    </row>
    <row r="122" spans="6:22" ht="58.5" customHeight="1" x14ac:dyDescent="0.3">
      <c r="F122" s="373"/>
      <c r="G122" s="373"/>
      <c r="H122" s="373"/>
      <c r="I122" s="373"/>
      <c r="J122" s="373"/>
      <c r="K122" s="374"/>
      <c r="L122" s="373"/>
      <c r="M122" s="373"/>
      <c r="N122" s="373"/>
      <c r="O122" s="373"/>
      <c r="P122" s="373"/>
      <c r="Q122" s="373"/>
      <c r="R122" s="373"/>
      <c r="S122" s="373"/>
      <c r="T122" s="373"/>
      <c r="U122" s="373"/>
      <c r="V122" s="373"/>
    </row>
    <row r="123" spans="6:22" ht="58.5" customHeight="1" x14ac:dyDescent="0.3">
      <c r="F123" s="373"/>
      <c r="G123" s="373"/>
      <c r="H123" s="373"/>
      <c r="I123" s="373"/>
      <c r="J123" s="373"/>
      <c r="K123" s="374"/>
      <c r="L123" s="373"/>
      <c r="M123" s="373"/>
      <c r="N123" s="373"/>
      <c r="O123" s="373"/>
      <c r="P123" s="373"/>
      <c r="Q123" s="373"/>
      <c r="R123" s="373"/>
      <c r="S123" s="373"/>
      <c r="T123" s="373"/>
      <c r="U123" s="373"/>
      <c r="V123" s="373"/>
    </row>
    <row r="124" spans="6:22" ht="58.5" customHeight="1" x14ac:dyDescent="0.3">
      <c r="F124" s="373"/>
      <c r="G124" s="373"/>
      <c r="H124" s="373"/>
      <c r="I124" s="373"/>
      <c r="J124" s="373"/>
      <c r="K124" s="374"/>
      <c r="L124" s="373"/>
      <c r="M124" s="373"/>
      <c r="N124" s="373"/>
      <c r="O124" s="373"/>
      <c r="P124" s="373"/>
      <c r="Q124" s="373"/>
      <c r="R124" s="373"/>
      <c r="S124" s="373"/>
      <c r="T124" s="373"/>
      <c r="U124" s="373"/>
      <c r="V124" s="373"/>
    </row>
    <row r="125" spans="6:22" ht="58.5" customHeight="1" x14ac:dyDescent="0.3">
      <c r="F125" s="373"/>
      <c r="G125" s="373"/>
      <c r="H125" s="373"/>
      <c r="I125" s="373"/>
      <c r="J125" s="373"/>
      <c r="K125" s="374"/>
      <c r="L125" s="373"/>
      <c r="M125" s="373"/>
      <c r="N125" s="373"/>
      <c r="O125" s="373"/>
      <c r="P125" s="373"/>
      <c r="Q125" s="373"/>
      <c r="R125" s="373"/>
      <c r="S125" s="373"/>
      <c r="T125" s="373"/>
      <c r="U125" s="373"/>
      <c r="V125" s="373"/>
    </row>
    <row r="126" spans="6:22" ht="58.5" customHeight="1" x14ac:dyDescent="0.3">
      <c r="F126" s="373"/>
      <c r="G126" s="373"/>
      <c r="H126" s="373"/>
      <c r="I126" s="373"/>
      <c r="J126" s="373"/>
      <c r="K126" s="374"/>
      <c r="L126" s="373"/>
      <c r="M126" s="373"/>
      <c r="N126" s="373"/>
      <c r="O126" s="373"/>
      <c r="P126" s="373"/>
      <c r="Q126" s="373"/>
      <c r="R126" s="373"/>
      <c r="S126" s="373"/>
      <c r="T126" s="373"/>
      <c r="U126" s="373"/>
      <c r="V126" s="373"/>
    </row>
    <row r="127" spans="6:22" ht="58.5" customHeight="1" x14ac:dyDescent="0.3">
      <c r="F127" s="373"/>
      <c r="G127" s="373"/>
      <c r="H127" s="373"/>
      <c r="I127" s="373"/>
      <c r="J127" s="373"/>
      <c r="K127" s="374"/>
      <c r="L127" s="373"/>
      <c r="M127" s="373"/>
      <c r="N127" s="373"/>
      <c r="O127" s="373"/>
      <c r="P127" s="373"/>
      <c r="Q127" s="373"/>
      <c r="R127" s="373"/>
      <c r="S127" s="373"/>
      <c r="T127" s="373"/>
      <c r="U127" s="373"/>
      <c r="V127" s="373"/>
    </row>
    <row r="128" spans="6:22" ht="58.5" customHeight="1" x14ac:dyDescent="0.3">
      <c r="F128" s="373"/>
      <c r="G128" s="373"/>
      <c r="H128" s="373"/>
      <c r="I128" s="373"/>
      <c r="J128" s="373"/>
      <c r="K128" s="374"/>
      <c r="L128" s="373"/>
      <c r="M128" s="373"/>
      <c r="N128" s="373"/>
      <c r="O128" s="373"/>
      <c r="P128" s="373"/>
      <c r="Q128" s="373"/>
      <c r="R128" s="373"/>
      <c r="S128" s="373"/>
      <c r="T128" s="373"/>
      <c r="U128" s="373"/>
      <c r="V128" s="373"/>
    </row>
    <row r="129" spans="6:22" ht="58.5" customHeight="1" x14ac:dyDescent="0.3">
      <c r="F129" s="373"/>
      <c r="G129" s="373"/>
      <c r="H129" s="373"/>
      <c r="I129" s="373"/>
      <c r="J129" s="373"/>
      <c r="K129" s="374"/>
      <c r="L129" s="373"/>
      <c r="M129" s="373"/>
      <c r="N129" s="373"/>
      <c r="O129" s="373"/>
      <c r="P129" s="373"/>
      <c r="Q129" s="373"/>
      <c r="R129" s="373"/>
      <c r="S129" s="373"/>
      <c r="T129" s="373"/>
      <c r="U129" s="373"/>
      <c r="V129" s="373"/>
    </row>
    <row r="130" spans="6:22" ht="58.5" customHeight="1" x14ac:dyDescent="0.3">
      <c r="F130" s="373"/>
      <c r="G130" s="373"/>
      <c r="H130" s="373"/>
      <c r="I130" s="373"/>
      <c r="J130" s="373"/>
      <c r="K130" s="374"/>
      <c r="L130" s="373"/>
      <c r="M130" s="373"/>
      <c r="N130" s="373"/>
      <c r="O130" s="373"/>
      <c r="P130" s="373"/>
      <c r="Q130" s="373"/>
      <c r="R130" s="373"/>
      <c r="S130" s="373"/>
      <c r="T130" s="373"/>
      <c r="U130" s="373"/>
      <c r="V130" s="373"/>
    </row>
    <row r="131" spans="6:22" ht="58.5" customHeight="1" x14ac:dyDescent="0.3">
      <c r="F131" s="373"/>
      <c r="G131" s="373"/>
      <c r="H131" s="373"/>
      <c r="I131" s="373"/>
      <c r="J131" s="373"/>
      <c r="K131" s="374"/>
      <c r="L131" s="373"/>
      <c r="M131" s="373"/>
      <c r="N131" s="373"/>
      <c r="O131" s="373"/>
      <c r="P131" s="373"/>
      <c r="Q131" s="373"/>
      <c r="R131" s="373"/>
      <c r="S131" s="373"/>
      <c r="T131" s="373"/>
      <c r="U131" s="373"/>
      <c r="V131" s="373"/>
    </row>
    <row r="132" spans="6:22" ht="58.5" customHeight="1" x14ac:dyDescent="0.3">
      <c r="F132" s="373"/>
      <c r="G132" s="373"/>
      <c r="H132" s="373"/>
      <c r="I132" s="373"/>
      <c r="J132" s="373"/>
      <c r="K132" s="374"/>
      <c r="L132" s="373"/>
      <c r="M132" s="373"/>
      <c r="N132" s="373"/>
      <c r="O132" s="373"/>
      <c r="P132" s="373"/>
      <c r="Q132" s="373"/>
      <c r="R132" s="373"/>
      <c r="S132" s="373"/>
      <c r="T132" s="373"/>
      <c r="U132" s="373"/>
      <c r="V132" s="373"/>
    </row>
    <row r="133" spans="6:22" ht="58.5" customHeight="1" x14ac:dyDescent="0.3">
      <c r="F133" s="373"/>
      <c r="G133" s="373"/>
      <c r="H133" s="373"/>
      <c r="I133" s="373"/>
      <c r="J133" s="373"/>
      <c r="K133" s="374"/>
      <c r="L133" s="373"/>
      <c r="M133" s="373"/>
      <c r="N133" s="373"/>
      <c r="O133" s="373"/>
      <c r="P133" s="373"/>
      <c r="Q133" s="373"/>
      <c r="R133" s="373"/>
      <c r="S133" s="373"/>
      <c r="T133" s="373"/>
      <c r="U133" s="373"/>
      <c r="V133" s="373"/>
    </row>
    <row r="134" spans="6:22" ht="58.5" customHeight="1" x14ac:dyDescent="0.3">
      <c r="F134" s="373"/>
      <c r="G134" s="373"/>
      <c r="H134" s="373"/>
      <c r="I134" s="373"/>
      <c r="J134" s="373"/>
      <c r="K134" s="374"/>
      <c r="L134" s="373"/>
      <c r="M134" s="373"/>
      <c r="N134" s="373"/>
      <c r="O134" s="373"/>
      <c r="P134" s="373"/>
      <c r="Q134" s="373"/>
      <c r="R134" s="373"/>
      <c r="S134" s="373"/>
      <c r="T134" s="373"/>
      <c r="U134" s="373"/>
      <c r="V134" s="373"/>
    </row>
    <row r="135" spans="6:22" ht="58.5" customHeight="1" x14ac:dyDescent="0.3">
      <c r="F135" s="373"/>
      <c r="G135" s="373"/>
      <c r="H135" s="373"/>
      <c r="I135" s="373"/>
      <c r="J135" s="373"/>
      <c r="K135" s="374"/>
      <c r="L135" s="373"/>
      <c r="M135" s="373"/>
      <c r="N135" s="373"/>
      <c r="O135" s="373"/>
      <c r="P135" s="373"/>
      <c r="Q135" s="373"/>
      <c r="R135" s="373"/>
      <c r="S135" s="373"/>
      <c r="T135" s="373"/>
      <c r="U135" s="373"/>
      <c r="V135" s="373"/>
    </row>
    <row r="136" spans="6:22" ht="58.5" customHeight="1" x14ac:dyDescent="0.3">
      <c r="F136" s="373"/>
      <c r="G136" s="373"/>
      <c r="H136" s="373"/>
      <c r="I136" s="373"/>
      <c r="J136" s="373"/>
      <c r="K136" s="374"/>
      <c r="L136" s="373"/>
      <c r="M136" s="373"/>
      <c r="N136" s="373"/>
      <c r="O136" s="373"/>
      <c r="P136" s="373"/>
      <c r="Q136" s="373"/>
      <c r="R136" s="373"/>
      <c r="S136" s="373"/>
      <c r="T136" s="373"/>
      <c r="U136" s="373"/>
      <c r="V136" s="373"/>
    </row>
    <row r="137" spans="6:22" ht="58.5" customHeight="1" x14ac:dyDescent="0.3">
      <c r="F137" s="373"/>
      <c r="G137" s="373"/>
      <c r="H137" s="373"/>
      <c r="I137" s="373"/>
      <c r="J137" s="373"/>
      <c r="K137" s="374"/>
      <c r="L137" s="373"/>
      <c r="M137" s="373"/>
      <c r="N137" s="373"/>
      <c r="O137" s="373"/>
      <c r="P137" s="373"/>
      <c r="Q137" s="373"/>
      <c r="R137" s="373"/>
      <c r="S137" s="373"/>
      <c r="T137" s="373"/>
      <c r="U137" s="373"/>
      <c r="V137" s="373"/>
    </row>
    <row r="138" spans="6:22" ht="58.5" customHeight="1" x14ac:dyDescent="0.3">
      <c r="F138" s="373"/>
      <c r="G138" s="373"/>
      <c r="H138" s="373"/>
      <c r="I138" s="373"/>
      <c r="J138" s="373"/>
      <c r="K138" s="374"/>
      <c r="L138" s="373"/>
      <c r="M138" s="373"/>
      <c r="N138" s="373"/>
      <c r="O138" s="373"/>
      <c r="P138" s="373"/>
      <c r="Q138" s="373"/>
      <c r="R138" s="373"/>
      <c r="S138" s="373"/>
      <c r="T138" s="373"/>
      <c r="U138" s="373"/>
      <c r="V138" s="373"/>
    </row>
    <row r="139" spans="6:22" ht="58.5" customHeight="1" x14ac:dyDescent="0.3">
      <c r="F139" s="373"/>
      <c r="G139" s="373"/>
      <c r="H139" s="373"/>
      <c r="I139" s="373"/>
      <c r="J139" s="373"/>
      <c r="K139" s="374"/>
      <c r="L139" s="373"/>
      <c r="M139" s="373"/>
      <c r="N139" s="373"/>
      <c r="O139" s="373"/>
      <c r="P139" s="373"/>
      <c r="Q139" s="373"/>
      <c r="R139" s="373"/>
      <c r="S139" s="373"/>
      <c r="T139" s="373"/>
      <c r="U139" s="373"/>
      <c r="V139" s="373"/>
    </row>
    <row r="140" spans="6:22" ht="58.5" customHeight="1" x14ac:dyDescent="0.3">
      <c r="F140" s="373"/>
      <c r="G140" s="373"/>
      <c r="H140" s="373"/>
      <c r="I140" s="373"/>
      <c r="J140" s="373"/>
      <c r="K140" s="374"/>
      <c r="L140" s="373"/>
      <c r="M140" s="373"/>
      <c r="N140" s="373"/>
      <c r="O140" s="373"/>
      <c r="P140" s="373"/>
      <c r="Q140" s="373"/>
      <c r="R140" s="373"/>
      <c r="S140" s="373"/>
      <c r="T140" s="373"/>
      <c r="U140" s="373"/>
      <c r="V140" s="373"/>
    </row>
    <row r="141" spans="6:22" ht="58.5" customHeight="1" x14ac:dyDescent="0.3">
      <c r="F141" s="373"/>
      <c r="G141" s="373"/>
      <c r="H141" s="373"/>
      <c r="I141" s="373"/>
      <c r="J141" s="373"/>
      <c r="K141" s="374"/>
      <c r="L141" s="373"/>
      <c r="M141" s="373"/>
      <c r="N141" s="373"/>
      <c r="O141" s="373"/>
      <c r="P141" s="373"/>
      <c r="Q141" s="373"/>
      <c r="R141" s="373"/>
      <c r="S141" s="373"/>
      <c r="T141" s="373"/>
      <c r="U141" s="373"/>
      <c r="V141" s="373"/>
    </row>
    <row r="142" spans="6:22" ht="58.5" customHeight="1" x14ac:dyDescent="0.3">
      <c r="F142" s="373"/>
      <c r="G142" s="373"/>
      <c r="H142" s="373"/>
      <c r="I142" s="373"/>
      <c r="J142" s="373"/>
      <c r="K142" s="374"/>
      <c r="L142" s="373"/>
      <c r="M142" s="373"/>
      <c r="N142" s="373"/>
      <c r="O142" s="373"/>
      <c r="P142" s="373"/>
      <c r="Q142" s="373"/>
      <c r="R142" s="373"/>
      <c r="S142" s="373"/>
      <c r="T142" s="373"/>
      <c r="U142" s="373"/>
      <c r="V142" s="373"/>
    </row>
    <row r="143" spans="6:22" ht="58.5" customHeight="1" x14ac:dyDescent="0.3">
      <c r="F143" s="373"/>
      <c r="G143" s="373"/>
      <c r="H143" s="373"/>
      <c r="I143" s="373"/>
      <c r="J143" s="373"/>
      <c r="K143" s="374"/>
      <c r="L143" s="373"/>
      <c r="M143" s="373"/>
      <c r="N143" s="373"/>
      <c r="O143" s="373"/>
      <c r="P143" s="373"/>
      <c r="Q143" s="373"/>
      <c r="R143" s="373"/>
      <c r="S143" s="373"/>
      <c r="T143" s="373"/>
      <c r="U143" s="373"/>
      <c r="V143" s="373"/>
    </row>
    <row r="144" spans="6:22" ht="58.5" customHeight="1" x14ac:dyDescent="0.3">
      <c r="F144" s="373"/>
      <c r="G144" s="373"/>
      <c r="H144" s="373"/>
      <c r="I144" s="373"/>
      <c r="J144" s="373"/>
      <c r="K144" s="374"/>
      <c r="L144" s="373"/>
      <c r="M144" s="373"/>
      <c r="N144" s="373"/>
      <c r="O144" s="373"/>
      <c r="P144" s="373"/>
      <c r="Q144" s="373"/>
      <c r="R144" s="373"/>
      <c r="S144" s="373"/>
      <c r="T144" s="373"/>
      <c r="U144" s="373"/>
      <c r="V144" s="373"/>
    </row>
    <row r="145" spans="6:22" ht="58.5" customHeight="1" x14ac:dyDescent="0.3">
      <c r="F145" s="373"/>
      <c r="G145" s="373"/>
      <c r="H145" s="373"/>
      <c r="I145" s="373"/>
      <c r="J145" s="373"/>
      <c r="K145" s="374"/>
      <c r="L145" s="373"/>
      <c r="M145" s="373"/>
      <c r="N145" s="373"/>
      <c r="O145" s="373"/>
      <c r="P145" s="373"/>
      <c r="Q145" s="373"/>
      <c r="R145" s="373"/>
      <c r="S145" s="373"/>
      <c r="T145" s="373"/>
      <c r="U145" s="373"/>
      <c r="V145" s="373"/>
    </row>
    <row r="146" spans="6:22" ht="58.5" customHeight="1" x14ac:dyDescent="0.3">
      <c r="F146" s="373"/>
      <c r="G146" s="373"/>
      <c r="H146" s="373"/>
      <c r="I146" s="373"/>
      <c r="J146" s="373"/>
      <c r="K146" s="374"/>
      <c r="L146" s="373"/>
      <c r="M146" s="373"/>
      <c r="N146" s="373"/>
      <c r="O146" s="373"/>
      <c r="P146" s="373"/>
      <c r="Q146" s="373"/>
      <c r="R146" s="373"/>
      <c r="S146" s="373"/>
      <c r="T146" s="373"/>
      <c r="U146" s="373"/>
      <c r="V146" s="373"/>
    </row>
    <row r="147" spans="6:22" ht="58.5" customHeight="1" x14ac:dyDescent="0.3">
      <c r="F147" s="373"/>
      <c r="G147" s="373"/>
      <c r="H147" s="373"/>
      <c r="I147" s="373"/>
      <c r="J147" s="373"/>
      <c r="K147" s="374"/>
      <c r="L147" s="373"/>
      <c r="M147" s="373"/>
      <c r="N147" s="373"/>
      <c r="O147" s="373"/>
      <c r="P147" s="373"/>
      <c r="Q147" s="373"/>
      <c r="R147" s="373"/>
      <c r="S147" s="373"/>
      <c r="T147" s="373"/>
      <c r="U147" s="373"/>
      <c r="V147" s="373"/>
    </row>
    <row r="148" spans="6:22" ht="58.5" customHeight="1" x14ac:dyDescent="0.3">
      <c r="F148" s="373"/>
      <c r="G148" s="373"/>
      <c r="H148" s="373"/>
      <c r="I148" s="373"/>
      <c r="J148" s="373"/>
      <c r="K148" s="374"/>
      <c r="L148" s="373"/>
      <c r="M148" s="373"/>
      <c r="N148" s="373"/>
      <c r="O148" s="373"/>
      <c r="P148" s="373"/>
      <c r="Q148" s="373"/>
      <c r="R148" s="373"/>
      <c r="S148" s="373"/>
      <c r="T148" s="373"/>
      <c r="U148" s="373"/>
      <c r="V148" s="373"/>
    </row>
    <row r="149" spans="6:22" ht="58.5" customHeight="1" x14ac:dyDescent="0.3">
      <c r="F149" s="373"/>
      <c r="G149" s="373"/>
      <c r="H149" s="373"/>
      <c r="I149" s="373"/>
      <c r="J149" s="373"/>
      <c r="K149" s="374"/>
      <c r="L149" s="373"/>
      <c r="M149" s="373"/>
      <c r="N149" s="373"/>
      <c r="O149" s="373"/>
      <c r="P149" s="373"/>
      <c r="Q149" s="373"/>
      <c r="R149" s="373"/>
      <c r="S149" s="373"/>
      <c r="T149" s="373"/>
      <c r="U149" s="373"/>
      <c r="V149" s="373"/>
    </row>
    <row r="150" spans="6:22" ht="58.5" customHeight="1" x14ac:dyDescent="0.3">
      <c r="F150" s="373"/>
      <c r="G150" s="373"/>
      <c r="H150" s="373"/>
      <c r="I150" s="373"/>
      <c r="J150" s="373"/>
      <c r="K150" s="374"/>
      <c r="L150" s="373"/>
      <c r="M150" s="373"/>
      <c r="N150" s="373"/>
      <c r="O150" s="373"/>
      <c r="P150" s="373"/>
      <c r="Q150" s="373"/>
      <c r="R150" s="373"/>
      <c r="S150" s="373"/>
      <c r="T150" s="373"/>
      <c r="U150" s="373"/>
      <c r="V150" s="373"/>
    </row>
    <row r="151" spans="6:22" ht="58.5" customHeight="1" x14ac:dyDescent="0.3">
      <c r="F151" s="373"/>
      <c r="G151" s="373"/>
      <c r="H151" s="373"/>
      <c r="I151" s="373"/>
      <c r="J151" s="373"/>
      <c r="K151" s="374"/>
      <c r="L151" s="373"/>
      <c r="M151" s="373"/>
      <c r="N151" s="373"/>
      <c r="O151" s="373"/>
      <c r="P151" s="373"/>
      <c r="Q151" s="373"/>
      <c r="R151" s="373"/>
      <c r="S151" s="373"/>
      <c r="T151" s="373"/>
      <c r="U151" s="373"/>
      <c r="V151" s="373"/>
    </row>
    <row r="152" spans="6:22" ht="58.5" customHeight="1" x14ac:dyDescent="0.3">
      <c r="F152" s="373"/>
      <c r="G152" s="373"/>
      <c r="H152" s="373"/>
      <c r="I152" s="373"/>
      <c r="J152" s="373"/>
      <c r="K152" s="374"/>
      <c r="L152" s="373"/>
      <c r="M152" s="373"/>
      <c r="N152" s="373"/>
      <c r="O152" s="373"/>
      <c r="P152" s="373"/>
      <c r="Q152" s="373"/>
      <c r="R152" s="373"/>
      <c r="S152" s="373"/>
      <c r="T152" s="373"/>
      <c r="U152" s="373"/>
      <c r="V152" s="373"/>
    </row>
    <row r="153" spans="6:22" ht="58.5" customHeight="1" x14ac:dyDescent="0.3">
      <c r="F153" s="373"/>
      <c r="G153" s="373"/>
      <c r="H153" s="373"/>
      <c r="I153" s="373"/>
      <c r="J153" s="373"/>
      <c r="K153" s="374"/>
      <c r="L153" s="373"/>
      <c r="M153" s="373"/>
      <c r="N153" s="373"/>
      <c r="O153" s="373"/>
      <c r="P153" s="373"/>
      <c r="Q153" s="373"/>
      <c r="R153" s="373"/>
      <c r="S153" s="373"/>
      <c r="T153" s="373"/>
      <c r="U153" s="373"/>
      <c r="V153" s="373"/>
    </row>
    <row r="154" spans="6:22" ht="58.5" customHeight="1" x14ac:dyDescent="0.3">
      <c r="F154" s="373"/>
      <c r="G154" s="373"/>
      <c r="H154" s="373"/>
      <c r="I154" s="373"/>
      <c r="J154" s="373"/>
      <c r="K154" s="374"/>
      <c r="L154" s="373"/>
      <c r="M154" s="373"/>
      <c r="N154" s="373"/>
      <c r="O154" s="373"/>
      <c r="P154" s="373"/>
      <c r="Q154" s="373"/>
      <c r="R154" s="373"/>
      <c r="S154" s="373"/>
      <c r="T154" s="373"/>
      <c r="U154" s="373"/>
      <c r="V154" s="373"/>
    </row>
    <row r="155" spans="6:22" ht="58.5" customHeight="1" x14ac:dyDescent="0.3">
      <c r="F155" s="373"/>
      <c r="G155" s="373"/>
      <c r="H155" s="373"/>
      <c r="I155" s="373"/>
      <c r="J155" s="373"/>
      <c r="K155" s="374"/>
      <c r="L155" s="373"/>
      <c r="M155" s="373"/>
      <c r="N155" s="373"/>
      <c r="O155" s="373"/>
      <c r="P155" s="373"/>
      <c r="Q155" s="373"/>
      <c r="R155" s="373"/>
      <c r="S155" s="373"/>
      <c r="T155" s="373"/>
      <c r="U155" s="373"/>
      <c r="V155" s="373"/>
    </row>
    <row r="156" spans="6:22" ht="58.5" customHeight="1" x14ac:dyDescent="0.3">
      <c r="F156" s="373"/>
      <c r="G156" s="373"/>
      <c r="H156" s="373"/>
      <c r="I156" s="373"/>
      <c r="J156" s="373"/>
      <c r="K156" s="374"/>
      <c r="L156" s="373"/>
      <c r="M156" s="373"/>
      <c r="N156" s="373"/>
      <c r="O156" s="373"/>
      <c r="P156" s="373"/>
      <c r="Q156" s="373"/>
      <c r="R156" s="373"/>
      <c r="S156" s="373"/>
      <c r="T156" s="373"/>
      <c r="U156" s="373"/>
      <c r="V156" s="373"/>
    </row>
    <row r="157" spans="6:22" ht="58.5" customHeight="1" x14ac:dyDescent="0.3">
      <c r="F157" s="373"/>
      <c r="G157" s="373"/>
      <c r="H157" s="373"/>
      <c r="I157" s="373"/>
      <c r="J157" s="373"/>
      <c r="K157" s="374"/>
      <c r="L157" s="373"/>
      <c r="M157" s="373"/>
      <c r="N157" s="373"/>
      <c r="O157" s="373"/>
      <c r="P157" s="373"/>
      <c r="Q157" s="373"/>
      <c r="R157" s="373"/>
      <c r="S157" s="373"/>
      <c r="T157" s="373"/>
      <c r="U157" s="373"/>
      <c r="V157" s="373"/>
    </row>
    <row r="158" spans="6:22" ht="58.5" customHeight="1" x14ac:dyDescent="0.3">
      <c r="F158" s="373"/>
      <c r="G158" s="373"/>
      <c r="H158" s="373"/>
      <c r="I158" s="373"/>
      <c r="J158" s="373"/>
      <c r="K158" s="374"/>
      <c r="L158" s="373"/>
      <c r="M158" s="373"/>
      <c r="N158" s="373"/>
      <c r="O158" s="373"/>
      <c r="P158" s="373"/>
      <c r="Q158" s="373"/>
      <c r="R158" s="373"/>
      <c r="S158" s="373"/>
      <c r="T158" s="373"/>
      <c r="U158" s="373"/>
      <c r="V158" s="373"/>
    </row>
    <row r="159" spans="6:22" ht="58.5" customHeight="1" x14ac:dyDescent="0.3">
      <c r="F159" s="373"/>
      <c r="G159" s="373"/>
      <c r="H159" s="373"/>
      <c r="I159" s="373"/>
      <c r="J159" s="373"/>
      <c r="K159" s="374"/>
      <c r="L159" s="373"/>
      <c r="M159" s="373"/>
      <c r="N159" s="373"/>
      <c r="O159" s="373"/>
      <c r="P159" s="373"/>
      <c r="Q159" s="373"/>
      <c r="R159" s="373"/>
      <c r="S159" s="373"/>
      <c r="T159" s="373"/>
      <c r="U159" s="373"/>
      <c r="V159" s="373"/>
    </row>
    <row r="160" spans="6:22" ht="58.5" customHeight="1" x14ac:dyDescent="0.3">
      <c r="F160" s="373"/>
      <c r="G160" s="373"/>
      <c r="H160" s="373"/>
      <c r="I160" s="373"/>
      <c r="J160" s="373"/>
      <c r="K160" s="374"/>
      <c r="L160" s="373"/>
      <c r="M160" s="373"/>
      <c r="N160" s="373"/>
      <c r="O160" s="373"/>
      <c r="P160" s="373"/>
      <c r="Q160" s="373"/>
      <c r="R160" s="373"/>
      <c r="S160" s="373"/>
      <c r="T160" s="373"/>
      <c r="U160" s="373"/>
      <c r="V160" s="373"/>
    </row>
    <row r="161" spans="6:22" ht="58.5" customHeight="1" x14ac:dyDescent="0.3">
      <c r="F161" s="373"/>
      <c r="G161" s="373"/>
      <c r="H161" s="373"/>
      <c r="I161" s="373"/>
      <c r="J161" s="373"/>
      <c r="K161" s="374"/>
      <c r="L161" s="373"/>
      <c r="M161" s="373"/>
      <c r="N161" s="373"/>
      <c r="O161" s="373"/>
      <c r="P161" s="373"/>
      <c r="Q161" s="373"/>
      <c r="R161" s="373"/>
      <c r="S161" s="373"/>
      <c r="T161" s="373"/>
      <c r="U161" s="373"/>
      <c r="V161" s="373"/>
    </row>
    <row r="162" spans="6:22" ht="58.5" customHeight="1" x14ac:dyDescent="0.3">
      <c r="F162" s="373"/>
      <c r="G162" s="373"/>
      <c r="H162" s="373"/>
      <c r="I162" s="373"/>
      <c r="J162" s="373"/>
      <c r="K162" s="374"/>
      <c r="L162" s="373"/>
      <c r="M162" s="373"/>
      <c r="N162" s="373"/>
      <c r="O162" s="373"/>
      <c r="P162" s="373"/>
      <c r="Q162" s="373"/>
      <c r="R162" s="373"/>
      <c r="S162" s="373"/>
      <c r="T162" s="373"/>
      <c r="U162" s="373"/>
      <c r="V162" s="373"/>
    </row>
    <row r="163" spans="6:22" ht="58.5" customHeight="1" x14ac:dyDescent="0.3">
      <c r="F163" s="373"/>
      <c r="G163" s="373"/>
      <c r="H163" s="373"/>
      <c r="I163" s="373"/>
      <c r="J163" s="373"/>
      <c r="K163" s="374"/>
      <c r="L163" s="373"/>
      <c r="M163" s="373"/>
      <c r="N163" s="373"/>
      <c r="O163" s="373"/>
      <c r="P163" s="373"/>
      <c r="Q163" s="373"/>
      <c r="R163" s="373"/>
      <c r="S163" s="373"/>
      <c r="T163" s="373"/>
      <c r="U163" s="373"/>
      <c r="V163" s="373"/>
    </row>
    <row r="164" spans="6:22" ht="58.5" customHeight="1" x14ac:dyDescent="0.3">
      <c r="F164" s="373"/>
      <c r="G164" s="373"/>
      <c r="H164" s="373"/>
      <c r="I164" s="373"/>
      <c r="J164" s="373"/>
      <c r="K164" s="374"/>
      <c r="L164" s="373"/>
      <c r="M164" s="373"/>
      <c r="N164" s="373"/>
      <c r="O164" s="373"/>
      <c r="P164" s="373"/>
      <c r="Q164" s="373"/>
      <c r="R164" s="373"/>
      <c r="S164" s="373"/>
      <c r="T164" s="373"/>
      <c r="U164" s="373"/>
      <c r="V164" s="373"/>
    </row>
    <row r="165" spans="6:22" ht="58.5" customHeight="1" x14ac:dyDescent="0.3">
      <c r="F165" s="373"/>
      <c r="G165" s="373"/>
      <c r="H165" s="373"/>
      <c r="I165" s="373"/>
      <c r="J165" s="373"/>
      <c r="K165" s="374"/>
      <c r="L165" s="373"/>
      <c r="M165" s="373"/>
      <c r="N165" s="373"/>
      <c r="O165" s="373"/>
      <c r="P165" s="373"/>
      <c r="Q165" s="373"/>
      <c r="R165" s="373"/>
      <c r="S165" s="373"/>
      <c r="T165" s="373"/>
      <c r="U165" s="373"/>
      <c r="V165" s="373"/>
    </row>
    <row r="166" spans="6:22" ht="58.5" customHeight="1" x14ac:dyDescent="0.3">
      <c r="F166" s="373"/>
      <c r="G166" s="373"/>
      <c r="H166" s="373"/>
      <c r="I166" s="373"/>
      <c r="J166" s="373"/>
      <c r="K166" s="374"/>
      <c r="L166" s="373"/>
      <c r="M166" s="373"/>
      <c r="N166" s="373"/>
      <c r="O166" s="373"/>
      <c r="P166" s="373"/>
      <c r="Q166" s="373"/>
      <c r="R166" s="373"/>
      <c r="S166" s="373"/>
      <c r="T166" s="373"/>
      <c r="U166" s="373"/>
      <c r="V166" s="373"/>
    </row>
    <row r="167" spans="6:22" ht="58.5" customHeight="1" x14ac:dyDescent="0.3">
      <c r="F167" s="373"/>
      <c r="G167" s="373"/>
      <c r="H167" s="373"/>
      <c r="I167" s="373"/>
      <c r="J167" s="373"/>
      <c r="K167" s="374"/>
      <c r="L167" s="373"/>
      <c r="M167" s="373"/>
      <c r="N167" s="373"/>
      <c r="O167" s="373"/>
      <c r="P167" s="373"/>
      <c r="Q167" s="373"/>
      <c r="R167" s="373"/>
      <c r="S167" s="373"/>
      <c r="T167" s="373"/>
      <c r="U167" s="373"/>
      <c r="V167" s="373"/>
    </row>
    <row r="168" spans="6:22" ht="58.5" customHeight="1" x14ac:dyDescent="0.3">
      <c r="F168" s="373"/>
      <c r="G168" s="373"/>
      <c r="H168" s="373"/>
      <c r="I168" s="373"/>
      <c r="J168" s="373"/>
      <c r="K168" s="374"/>
      <c r="L168" s="373"/>
      <c r="M168" s="373"/>
      <c r="N168" s="373"/>
      <c r="O168" s="373"/>
      <c r="P168" s="373"/>
      <c r="Q168" s="373"/>
      <c r="R168" s="373"/>
      <c r="S168" s="373"/>
      <c r="T168" s="373"/>
      <c r="U168" s="373"/>
      <c r="V168" s="373"/>
    </row>
    <row r="169" spans="6:22" ht="58.5" customHeight="1" x14ac:dyDescent="0.3">
      <c r="F169" s="373"/>
      <c r="G169" s="373"/>
      <c r="H169" s="373"/>
      <c r="I169" s="373"/>
      <c r="J169" s="373"/>
      <c r="K169" s="374"/>
      <c r="L169" s="373"/>
      <c r="M169" s="373"/>
      <c r="N169" s="373"/>
      <c r="O169" s="373"/>
      <c r="P169" s="373"/>
      <c r="Q169" s="373"/>
      <c r="R169" s="373"/>
      <c r="S169" s="373"/>
      <c r="T169" s="373"/>
      <c r="U169" s="373"/>
      <c r="V169" s="373"/>
    </row>
    <row r="170" spans="6:22" ht="58.5" customHeight="1" x14ac:dyDescent="0.3">
      <c r="F170" s="373"/>
      <c r="G170" s="373"/>
      <c r="H170" s="373"/>
      <c r="I170" s="373"/>
      <c r="J170" s="373"/>
      <c r="K170" s="374"/>
      <c r="L170" s="373"/>
      <c r="M170" s="373"/>
      <c r="N170" s="373"/>
      <c r="O170" s="373"/>
      <c r="P170" s="373"/>
      <c r="Q170" s="373"/>
      <c r="R170" s="373"/>
      <c r="S170" s="373"/>
      <c r="T170" s="373"/>
      <c r="U170" s="373"/>
      <c r="V170" s="373"/>
    </row>
    <row r="171" spans="6:22" ht="58.5" customHeight="1" x14ac:dyDescent="0.3">
      <c r="F171" s="373"/>
      <c r="G171" s="373"/>
      <c r="H171" s="373"/>
      <c r="I171" s="373"/>
      <c r="J171" s="373"/>
      <c r="K171" s="374"/>
      <c r="L171" s="373"/>
      <c r="M171" s="373"/>
      <c r="N171" s="373"/>
      <c r="O171" s="373"/>
      <c r="P171" s="373"/>
      <c r="Q171" s="373"/>
      <c r="R171" s="373"/>
      <c r="S171" s="373"/>
      <c r="T171" s="373"/>
      <c r="U171" s="373"/>
      <c r="V171" s="373"/>
    </row>
    <row r="172" spans="6:22" ht="58.5" customHeight="1" x14ac:dyDescent="0.3">
      <c r="F172" s="373"/>
      <c r="G172" s="373"/>
      <c r="H172" s="373"/>
      <c r="I172" s="373"/>
      <c r="J172" s="373"/>
      <c r="K172" s="374"/>
      <c r="L172" s="373"/>
      <c r="M172" s="373"/>
      <c r="N172" s="373"/>
      <c r="O172" s="373"/>
      <c r="P172" s="373"/>
      <c r="Q172" s="373"/>
      <c r="R172" s="373"/>
      <c r="S172" s="373"/>
      <c r="T172" s="373"/>
      <c r="U172" s="373"/>
      <c r="V172" s="373"/>
    </row>
    <row r="173" spans="6:22" ht="58.5" customHeight="1" x14ac:dyDescent="0.3">
      <c r="F173" s="373"/>
      <c r="G173" s="373"/>
      <c r="H173" s="373"/>
      <c r="I173" s="373"/>
      <c r="J173" s="373"/>
      <c r="K173" s="374"/>
      <c r="L173" s="373"/>
      <c r="M173" s="373"/>
      <c r="N173" s="373"/>
      <c r="O173" s="373"/>
      <c r="P173" s="373"/>
      <c r="Q173" s="373"/>
      <c r="R173" s="373"/>
      <c r="S173" s="373"/>
      <c r="T173" s="373"/>
      <c r="U173" s="373"/>
      <c r="V173" s="373"/>
    </row>
    <row r="174" spans="6:22" ht="58.5" customHeight="1" x14ac:dyDescent="0.3">
      <c r="F174" s="373"/>
      <c r="G174" s="373"/>
      <c r="H174" s="373"/>
      <c r="I174" s="373"/>
      <c r="J174" s="373"/>
      <c r="K174" s="374"/>
      <c r="L174" s="373"/>
      <c r="M174" s="373"/>
      <c r="N174" s="373"/>
      <c r="O174" s="373"/>
      <c r="P174" s="373"/>
      <c r="Q174" s="373"/>
      <c r="R174" s="373"/>
      <c r="S174" s="373"/>
      <c r="T174" s="373"/>
      <c r="U174" s="373"/>
      <c r="V174" s="373"/>
    </row>
    <row r="175" spans="6:22" ht="58.5" customHeight="1" x14ac:dyDescent="0.3">
      <c r="F175" s="373"/>
      <c r="G175" s="373"/>
      <c r="H175" s="373"/>
      <c r="I175" s="373"/>
      <c r="J175" s="373"/>
      <c r="K175" s="374"/>
      <c r="L175" s="373"/>
      <c r="M175" s="373"/>
      <c r="N175" s="373"/>
      <c r="O175" s="373"/>
      <c r="P175" s="373"/>
      <c r="Q175" s="373"/>
      <c r="R175" s="373"/>
      <c r="S175" s="373"/>
      <c r="T175" s="373"/>
      <c r="U175" s="373"/>
      <c r="V175" s="373"/>
    </row>
    <row r="176" spans="6:22" ht="58.5" customHeight="1" x14ac:dyDescent="0.3">
      <c r="F176" s="373"/>
      <c r="G176" s="373"/>
      <c r="H176" s="373"/>
      <c r="I176" s="373"/>
      <c r="J176" s="373"/>
      <c r="K176" s="374"/>
      <c r="L176" s="373"/>
      <c r="M176" s="373"/>
      <c r="N176" s="373"/>
      <c r="O176" s="373"/>
      <c r="P176" s="373"/>
      <c r="Q176" s="373"/>
      <c r="R176" s="373"/>
      <c r="S176" s="373"/>
      <c r="T176" s="373"/>
      <c r="U176" s="373"/>
      <c r="V176" s="373"/>
    </row>
    <row r="177" spans="6:22" ht="58.5" customHeight="1" x14ac:dyDescent="0.3">
      <c r="F177" s="373"/>
      <c r="G177" s="373"/>
      <c r="H177" s="373"/>
      <c r="I177" s="373"/>
      <c r="J177" s="373"/>
      <c r="K177" s="374"/>
      <c r="L177" s="373"/>
      <c r="M177" s="373"/>
      <c r="N177" s="373"/>
      <c r="O177" s="373"/>
      <c r="P177" s="373"/>
      <c r="Q177" s="373"/>
      <c r="R177" s="373"/>
      <c r="S177" s="373"/>
      <c r="T177" s="373"/>
      <c r="U177" s="373"/>
      <c r="V177" s="373"/>
    </row>
    <row r="178" spans="6:22" ht="58.5" customHeight="1" x14ac:dyDescent="0.3">
      <c r="F178" s="373"/>
      <c r="G178" s="373"/>
      <c r="H178" s="373"/>
      <c r="I178" s="373"/>
      <c r="J178" s="373"/>
      <c r="K178" s="374"/>
      <c r="L178" s="373"/>
      <c r="M178" s="373"/>
      <c r="N178" s="373"/>
      <c r="O178" s="373"/>
      <c r="P178" s="373"/>
      <c r="Q178" s="373"/>
      <c r="R178" s="373"/>
      <c r="S178" s="373"/>
      <c r="T178" s="373"/>
      <c r="U178" s="373"/>
      <c r="V178" s="373"/>
    </row>
    <row r="179" spans="6:22" ht="58.5" customHeight="1" x14ac:dyDescent="0.3">
      <c r="F179" s="373"/>
      <c r="G179" s="373"/>
      <c r="H179" s="373"/>
      <c r="I179" s="373"/>
      <c r="J179" s="373"/>
      <c r="K179" s="374"/>
      <c r="L179" s="373"/>
      <c r="M179" s="373"/>
      <c r="N179" s="373"/>
      <c r="O179" s="373"/>
      <c r="P179" s="373"/>
      <c r="Q179" s="373"/>
      <c r="R179" s="373"/>
      <c r="S179" s="373"/>
      <c r="T179" s="373"/>
      <c r="U179" s="373"/>
      <c r="V179" s="373"/>
    </row>
    <row r="180" spans="6:22" ht="58.5" customHeight="1" x14ac:dyDescent="0.3">
      <c r="F180" s="373"/>
      <c r="G180" s="373"/>
      <c r="H180" s="373"/>
      <c r="I180" s="373"/>
      <c r="J180" s="373"/>
      <c r="K180" s="374"/>
      <c r="L180" s="373"/>
      <c r="M180" s="373"/>
      <c r="N180" s="373"/>
      <c r="O180" s="373"/>
      <c r="P180" s="373"/>
      <c r="Q180" s="373"/>
      <c r="R180" s="373"/>
      <c r="S180" s="373"/>
      <c r="T180" s="373"/>
      <c r="U180" s="373"/>
      <c r="V180" s="373"/>
    </row>
    <row r="181" spans="6:22" ht="58.5" customHeight="1" x14ac:dyDescent="0.3">
      <c r="F181" s="373"/>
      <c r="G181" s="373"/>
      <c r="H181" s="373"/>
      <c r="I181" s="373"/>
      <c r="J181" s="373"/>
      <c r="K181" s="374"/>
      <c r="L181" s="373"/>
      <c r="M181" s="373"/>
      <c r="N181" s="373"/>
      <c r="O181" s="373"/>
      <c r="P181" s="373"/>
      <c r="Q181" s="373"/>
      <c r="R181" s="373"/>
      <c r="S181" s="373"/>
      <c r="T181" s="373"/>
      <c r="U181" s="373"/>
      <c r="V181" s="373"/>
    </row>
    <row r="182" spans="6:22" ht="58.5" customHeight="1" x14ac:dyDescent="0.3">
      <c r="F182" s="373"/>
      <c r="G182" s="373"/>
      <c r="H182" s="373"/>
      <c r="I182" s="373"/>
      <c r="J182" s="373"/>
      <c r="K182" s="374"/>
      <c r="L182" s="373"/>
      <c r="M182" s="373"/>
      <c r="N182" s="373"/>
      <c r="O182" s="373"/>
      <c r="P182" s="373"/>
      <c r="Q182" s="373"/>
      <c r="R182" s="373"/>
      <c r="S182" s="373"/>
      <c r="T182" s="373"/>
      <c r="U182" s="373"/>
      <c r="V182" s="373"/>
    </row>
    <row r="183" spans="6:22" ht="58.5" customHeight="1" x14ac:dyDescent="0.3">
      <c r="F183" s="373"/>
      <c r="G183" s="373"/>
      <c r="H183" s="373"/>
      <c r="I183" s="373"/>
      <c r="J183" s="373"/>
      <c r="K183" s="374"/>
      <c r="L183" s="373"/>
      <c r="M183" s="373"/>
      <c r="N183" s="373"/>
      <c r="O183" s="373"/>
      <c r="P183" s="373"/>
      <c r="Q183" s="373"/>
      <c r="R183" s="373"/>
      <c r="S183" s="373"/>
      <c r="T183" s="373"/>
      <c r="U183" s="373"/>
      <c r="V183" s="373"/>
    </row>
    <row r="184" spans="6:22" ht="58.5" customHeight="1" x14ac:dyDescent="0.3">
      <c r="F184" s="373"/>
      <c r="G184" s="373"/>
      <c r="H184" s="373"/>
      <c r="I184" s="373"/>
      <c r="J184" s="373"/>
      <c r="K184" s="374"/>
      <c r="L184" s="373"/>
      <c r="M184" s="373"/>
      <c r="N184" s="373"/>
      <c r="O184" s="373"/>
      <c r="P184" s="373"/>
      <c r="Q184" s="373"/>
      <c r="R184" s="373"/>
      <c r="S184" s="373"/>
      <c r="T184" s="373"/>
      <c r="U184" s="373"/>
      <c r="V184" s="373"/>
    </row>
    <row r="185" spans="6:22" ht="58.5" customHeight="1" x14ac:dyDescent="0.3">
      <c r="F185" s="373"/>
      <c r="G185" s="373"/>
      <c r="H185" s="373"/>
      <c r="I185" s="373"/>
      <c r="J185" s="373"/>
      <c r="K185" s="374"/>
      <c r="L185" s="373"/>
      <c r="M185" s="373"/>
      <c r="N185" s="373"/>
      <c r="O185" s="373"/>
      <c r="P185" s="373"/>
      <c r="Q185" s="373"/>
      <c r="R185" s="373"/>
      <c r="S185" s="373"/>
      <c r="T185" s="373"/>
      <c r="U185" s="373"/>
      <c r="V185" s="373"/>
    </row>
    <row r="186" spans="6:22" ht="58.5" customHeight="1" x14ac:dyDescent="0.3">
      <c r="F186" s="373"/>
      <c r="G186" s="373"/>
      <c r="H186" s="373"/>
      <c r="I186" s="373"/>
      <c r="J186" s="373"/>
      <c r="K186" s="374"/>
      <c r="L186" s="373"/>
      <c r="M186" s="373"/>
      <c r="N186" s="373"/>
      <c r="O186" s="373"/>
      <c r="P186" s="373"/>
      <c r="Q186" s="373"/>
      <c r="R186" s="373"/>
      <c r="S186" s="373"/>
      <c r="T186" s="373"/>
      <c r="U186" s="373"/>
      <c r="V186" s="373"/>
    </row>
    <row r="187" spans="6:22" ht="58.5" customHeight="1" x14ac:dyDescent="0.3">
      <c r="F187" s="373"/>
      <c r="G187" s="373"/>
      <c r="H187" s="373"/>
      <c r="I187" s="373"/>
      <c r="J187" s="373"/>
      <c r="K187" s="374"/>
      <c r="L187" s="373"/>
      <c r="M187" s="373"/>
      <c r="N187" s="373"/>
      <c r="O187" s="373"/>
      <c r="P187" s="373"/>
      <c r="Q187" s="373"/>
      <c r="R187" s="373"/>
      <c r="S187" s="373"/>
      <c r="T187" s="373"/>
      <c r="U187" s="373"/>
      <c r="V187" s="373"/>
    </row>
    <row r="188" spans="6:22" ht="58.5" customHeight="1" x14ac:dyDescent="0.3">
      <c r="F188" s="373"/>
      <c r="G188" s="373"/>
      <c r="H188" s="373"/>
      <c r="I188" s="373"/>
      <c r="J188" s="373"/>
      <c r="K188" s="374"/>
      <c r="L188" s="373"/>
      <c r="M188" s="373"/>
      <c r="N188" s="373"/>
      <c r="O188" s="373"/>
      <c r="P188" s="373"/>
      <c r="Q188" s="373"/>
      <c r="R188" s="373"/>
      <c r="S188" s="373"/>
      <c r="T188" s="373"/>
      <c r="U188" s="373"/>
      <c r="V188" s="373"/>
    </row>
    <row r="189" spans="6:22" ht="58.5" customHeight="1" x14ac:dyDescent="0.3">
      <c r="F189" s="373"/>
      <c r="G189" s="373"/>
      <c r="H189" s="373"/>
      <c r="I189" s="373"/>
      <c r="J189" s="373"/>
      <c r="K189" s="374"/>
      <c r="L189" s="373"/>
      <c r="M189" s="373"/>
      <c r="N189" s="373"/>
      <c r="O189" s="373"/>
      <c r="P189" s="373"/>
      <c r="Q189" s="373"/>
      <c r="R189" s="373"/>
      <c r="S189" s="373"/>
      <c r="T189" s="373"/>
      <c r="U189" s="373"/>
      <c r="V189" s="373"/>
    </row>
    <row r="190" spans="6:22" ht="58.5" customHeight="1" x14ac:dyDescent="0.3">
      <c r="F190" s="373"/>
      <c r="G190" s="373"/>
      <c r="H190" s="373"/>
      <c r="I190" s="373"/>
      <c r="J190" s="373"/>
      <c r="K190" s="374"/>
      <c r="L190" s="373"/>
      <c r="M190" s="373"/>
      <c r="N190" s="373"/>
      <c r="O190" s="373"/>
      <c r="P190" s="373"/>
      <c r="Q190" s="373"/>
      <c r="R190" s="373"/>
      <c r="S190" s="373"/>
      <c r="T190" s="373"/>
      <c r="U190" s="373"/>
      <c r="V190" s="373"/>
    </row>
    <row r="191" spans="6:22" ht="58.5" customHeight="1" x14ac:dyDescent="0.3">
      <c r="F191" s="373"/>
      <c r="G191" s="373"/>
      <c r="H191" s="373"/>
      <c r="I191" s="373"/>
      <c r="J191" s="373"/>
      <c r="K191" s="374"/>
      <c r="L191" s="373"/>
      <c r="M191" s="373"/>
      <c r="N191" s="373"/>
      <c r="O191" s="373"/>
      <c r="P191" s="373"/>
      <c r="Q191" s="373"/>
      <c r="R191" s="373"/>
      <c r="S191" s="373"/>
      <c r="T191" s="373"/>
      <c r="U191" s="373"/>
      <c r="V191" s="373"/>
    </row>
    <row r="192" spans="6:22" ht="58.5" customHeight="1" x14ac:dyDescent="0.3">
      <c r="F192" s="373"/>
      <c r="G192" s="373"/>
      <c r="H192" s="373"/>
      <c r="I192" s="373"/>
      <c r="J192" s="373"/>
      <c r="K192" s="374"/>
      <c r="L192" s="373"/>
      <c r="M192" s="373"/>
      <c r="N192" s="373"/>
      <c r="O192" s="373"/>
      <c r="P192" s="373"/>
      <c r="Q192" s="373"/>
      <c r="R192" s="373"/>
      <c r="S192" s="373"/>
      <c r="T192" s="373"/>
      <c r="U192" s="373"/>
      <c r="V192" s="373"/>
    </row>
    <row r="193" spans="6:22" ht="58.5" customHeight="1" x14ac:dyDescent="0.3">
      <c r="F193" s="373"/>
      <c r="G193" s="373"/>
      <c r="H193" s="373"/>
      <c r="I193" s="373"/>
      <c r="J193" s="373"/>
      <c r="K193" s="374"/>
      <c r="L193" s="373"/>
      <c r="M193" s="373"/>
      <c r="N193" s="373"/>
      <c r="O193" s="373"/>
      <c r="P193" s="373"/>
      <c r="Q193" s="373"/>
      <c r="R193" s="373"/>
      <c r="S193" s="373"/>
      <c r="T193" s="373"/>
      <c r="U193" s="373"/>
      <c r="V193" s="373"/>
    </row>
    <row r="194" spans="6:22" ht="58.5" customHeight="1" x14ac:dyDescent="0.3">
      <c r="F194" s="373"/>
      <c r="G194" s="373"/>
      <c r="H194" s="373"/>
      <c r="I194" s="373"/>
      <c r="J194" s="373"/>
      <c r="K194" s="374"/>
      <c r="L194" s="373"/>
      <c r="M194" s="373"/>
      <c r="N194" s="373"/>
      <c r="O194" s="373"/>
      <c r="P194" s="373"/>
      <c r="Q194" s="373"/>
      <c r="R194" s="373"/>
      <c r="S194" s="373"/>
      <c r="T194" s="373"/>
      <c r="U194" s="373"/>
      <c r="V194" s="373"/>
    </row>
    <row r="195" spans="6:22" ht="58.5" customHeight="1" x14ac:dyDescent="0.3">
      <c r="F195" s="373"/>
      <c r="G195" s="373"/>
      <c r="H195" s="373"/>
      <c r="I195" s="373"/>
      <c r="J195" s="373"/>
      <c r="K195" s="374"/>
      <c r="L195" s="373"/>
      <c r="M195" s="373"/>
      <c r="N195" s="373"/>
      <c r="O195" s="373"/>
      <c r="P195" s="373"/>
      <c r="Q195" s="373"/>
      <c r="R195" s="373"/>
      <c r="S195" s="373"/>
      <c r="T195" s="373"/>
      <c r="U195" s="373"/>
      <c r="V195" s="373"/>
    </row>
    <row r="196" spans="6:22" ht="58.5" customHeight="1" x14ac:dyDescent="0.3">
      <c r="F196" s="373"/>
      <c r="G196" s="373"/>
      <c r="H196" s="373"/>
      <c r="I196" s="373"/>
      <c r="J196" s="373"/>
      <c r="K196" s="374"/>
      <c r="L196" s="373"/>
      <c r="M196" s="373"/>
      <c r="N196" s="373"/>
      <c r="O196" s="373"/>
      <c r="P196" s="373"/>
      <c r="Q196" s="373"/>
      <c r="R196" s="373"/>
      <c r="S196" s="373"/>
      <c r="T196" s="373"/>
      <c r="U196" s="373"/>
      <c r="V196" s="373"/>
    </row>
    <row r="197" spans="6:22" ht="58.5" customHeight="1" x14ac:dyDescent="0.3">
      <c r="F197" s="373"/>
      <c r="G197" s="373"/>
      <c r="H197" s="373"/>
      <c r="I197" s="373"/>
      <c r="J197" s="373"/>
      <c r="K197" s="374"/>
      <c r="L197" s="373"/>
      <c r="M197" s="373"/>
      <c r="N197" s="373"/>
      <c r="O197" s="373"/>
      <c r="P197" s="373"/>
      <c r="Q197" s="373"/>
      <c r="R197" s="373"/>
      <c r="S197" s="373"/>
      <c r="T197" s="373"/>
      <c r="U197" s="373"/>
      <c r="V197" s="373"/>
    </row>
    <row r="198" spans="6:22" ht="58.5" customHeight="1" x14ac:dyDescent="0.3">
      <c r="F198" s="373"/>
      <c r="G198" s="373"/>
      <c r="H198" s="373"/>
      <c r="I198" s="373"/>
      <c r="J198" s="373"/>
      <c r="K198" s="374"/>
      <c r="L198" s="373"/>
      <c r="M198" s="373"/>
      <c r="N198" s="373"/>
      <c r="O198" s="373"/>
      <c r="P198" s="373"/>
      <c r="Q198" s="373"/>
      <c r="R198" s="373"/>
      <c r="S198" s="373"/>
      <c r="T198" s="373"/>
      <c r="U198" s="373"/>
      <c r="V198" s="373"/>
    </row>
    <row r="199" spans="6:22" ht="58.5" customHeight="1" x14ac:dyDescent="0.3">
      <c r="F199" s="373"/>
      <c r="G199" s="373"/>
      <c r="H199" s="373"/>
      <c r="I199" s="373"/>
      <c r="J199" s="373"/>
      <c r="K199" s="374"/>
      <c r="L199" s="373"/>
      <c r="M199" s="373"/>
      <c r="N199" s="373"/>
      <c r="O199" s="373"/>
      <c r="P199" s="373"/>
      <c r="Q199" s="373"/>
      <c r="R199" s="373"/>
      <c r="S199" s="373"/>
      <c r="T199" s="373"/>
      <c r="U199" s="373"/>
      <c r="V199" s="373"/>
    </row>
    <row r="200" spans="6:22" ht="58.5" customHeight="1" x14ac:dyDescent="0.3">
      <c r="F200" s="373"/>
      <c r="G200" s="373"/>
      <c r="H200" s="373"/>
      <c r="I200" s="373"/>
      <c r="J200" s="373"/>
      <c r="K200" s="374"/>
      <c r="L200" s="373"/>
      <c r="M200" s="373"/>
      <c r="N200" s="373"/>
      <c r="O200" s="373"/>
      <c r="P200" s="373"/>
      <c r="Q200" s="373"/>
      <c r="R200" s="373"/>
      <c r="S200" s="373"/>
      <c r="T200" s="373"/>
      <c r="U200" s="373"/>
      <c r="V200" s="373"/>
    </row>
    <row r="201" spans="6:22" ht="58.5" customHeight="1" x14ac:dyDescent="0.3">
      <c r="F201" s="373"/>
      <c r="G201" s="373"/>
      <c r="H201" s="373"/>
      <c r="I201" s="373"/>
      <c r="J201" s="373"/>
      <c r="K201" s="374"/>
      <c r="L201" s="373"/>
      <c r="M201" s="373"/>
      <c r="N201" s="373"/>
      <c r="O201" s="373"/>
      <c r="P201" s="373"/>
      <c r="Q201" s="373"/>
      <c r="R201" s="373"/>
      <c r="S201" s="373"/>
      <c r="T201" s="373"/>
      <c r="U201" s="373"/>
      <c r="V201" s="373"/>
    </row>
    <row r="202" spans="6:22" ht="58.5" customHeight="1" x14ac:dyDescent="0.3">
      <c r="F202" s="373"/>
      <c r="G202" s="373"/>
      <c r="H202" s="373"/>
      <c r="I202" s="373"/>
      <c r="J202" s="373"/>
      <c r="K202" s="374"/>
      <c r="L202" s="373"/>
      <c r="M202" s="373"/>
      <c r="N202" s="373"/>
      <c r="O202" s="373"/>
      <c r="P202" s="373"/>
      <c r="Q202" s="373"/>
      <c r="R202" s="373"/>
      <c r="S202" s="373"/>
      <c r="T202" s="373"/>
      <c r="U202" s="373"/>
      <c r="V202" s="373"/>
    </row>
    <row r="203" spans="6:22" ht="58.5" customHeight="1" x14ac:dyDescent="0.3">
      <c r="F203" s="373"/>
      <c r="G203" s="373"/>
      <c r="H203" s="373"/>
      <c r="I203" s="373"/>
      <c r="J203" s="373"/>
      <c r="K203" s="374"/>
      <c r="L203" s="373"/>
      <c r="M203" s="373"/>
      <c r="N203" s="373"/>
      <c r="O203" s="373"/>
      <c r="P203" s="373"/>
      <c r="Q203" s="373"/>
      <c r="R203" s="373"/>
      <c r="S203" s="373"/>
      <c r="T203" s="373"/>
      <c r="U203" s="373"/>
      <c r="V203" s="373"/>
    </row>
    <row r="204" spans="6:22" ht="58.5" customHeight="1" x14ac:dyDescent="0.3">
      <c r="F204" s="373"/>
      <c r="G204" s="373"/>
      <c r="H204" s="373"/>
      <c r="I204" s="373"/>
      <c r="J204" s="373"/>
      <c r="K204" s="374"/>
      <c r="L204" s="373"/>
      <c r="M204" s="373"/>
      <c r="N204" s="373"/>
      <c r="O204" s="373"/>
      <c r="P204" s="373"/>
      <c r="Q204" s="373"/>
      <c r="R204" s="373"/>
      <c r="S204" s="373"/>
      <c r="T204" s="373"/>
      <c r="U204" s="373"/>
      <c r="V204" s="373"/>
    </row>
    <row r="205" spans="6:22" ht="58.5" customHeight="1" x14ac:dyDescent="0.3">
      <c r="F205" s="373"/>
      <c r="G205" s="373"/>
      <c r="H205" s="373"/>
      <c r="I205" s="373"/>
      <c r="J205" s="373"/>
      <c r="K205" s="374"/>
      <c r="L205" s="373"/>
      <c r="M205" s="373"/>
      <c r="N205" s="373"/>
      <c r="O205" s="373"/>
      <c r="P205" s="373"/>
      <c r="Q205" s="373"/>
      <c r="R205" s="373"/>
      <c r="S205" s="373"/>
      <c r="T205" s="373"/>
      <c r="U205" s="373"/>
      <c r="V205" s="373"/>
    </row>
    <row r="206" spans="6:22" ht="58.5" customHeight="1" x14ac:dyDescent="0.3">
      <c r="F206" s="373"/>
      <c r="G206" s="373"/>
      <c r="H206" s="373"/>
      <c r="I206" s="373"/>
      <c r="J206" s="373"/>
      <c r="K206" s="374"/>
      <c r="L206" s="373"/>
      <c r="M206" s="373"/>
      <c r="N206" s="373"/>
      <c r="O206" s="373"/>
      <c r="P206" s="373"/>
      <c r="Q206" s="373"/>
      <c r="R206" s="373"/>
      <c r="S206" s="373"/>
      <c r="T206" s="373"/>
      <c r="U206" s="373"/>
      <c r="V206" s="373"/>
    </row>
    <row r="207" spans="6:22" ht="58.5" customHeight="1" x14ac:dyDescent="0.3">
      <c r="F207" s="373"/>
      <c r="G207" s="373"/>
      <c r="H207" s="373"/>
      <c r="I207" s="373"/>
      <c r="J207" s="373"/>
      <c r="K207" s="374"/>
      <c r="L207" s="373"/>
      <c r="M207" s="373"/>
      <c r="N207" s="373"/>
      <c r="O207" s="373"/>
      <c r="P207" s="373"/>
      <c r="Q207" s="373"/>
      <c r="R207" s="373"/>
      <c r="S207" s="373"/>
      <c r="T207" s="373"/>
      <c r="U207" s="373"/>
      <c r="V207" s="373"/>
    </row>
    <row r="208" spans="6:22" ht="58.5" customHeight="1" x14ac:dyDescent="0.3">
      <c r="F208" s="373"/>
      <c r="G208" s="373"/>
      <c r="H208" s="373"/>
      <c r="I208" s="373"/>
      <c r="J208" s="373"/>
      <c r="K208" s="374"/>
      <c r="L208" s="373"/>
      <c r="M208" s="373"/>
      <c r="N208" s="373"/>
      <c r="O208" s="373"/>
      <c r="P208" s="373"/>
      <c r="Q208" s="373"/>
      <c r="R208" s="373"/>
      <c r="S208" s="373"/>
      <c r="T208" s="373"/>
      <c r="U208" s="373"/>
      <c r="V208" s="373"/>
    </row>
    <row r="209" spans="6:22" ht="58.5" customHeight="1" x14ac:dyDescent="0.3">
      <c r="F209" s="373"/>
      <c r="G209" s="373"/>
      <c r="H209" s="373"/>
      <c r="I209" s="373"/>
      <c r="J209" s="373"/>
      <c r="K209" s="374"/>
      <c r="L209" s="373"/>
      <c r="M209" s="373"/>
      <c r="N209" s="373"/>
      <c r="O209" s="373"/>
      <c r="P209" s="373"/>
      <c r="Q209" s="373"/>
      <c r="R209" s="373"/>
      <c r="S209" s="373"/>
      <c r="T209" s="373"/>
      <c r="U209" s="373"/>
      <c r="V209" s="373"/>
    </row>
    <row r="210" spans="6:22" ht="58.5" customHeight="1" x14ac:dyDescent="0.3">
      <c r="F210" s="373"/>
      <c r="G210" s="373"/>
      <c r="H210" s="373"/>
      <c r="I210" s="373"/>
      <c r="J210" s="373"/>
      <c r="K210" s="374"/>
      <c r="L210" s="373"/>
      <c r="M210" s="373"/>
      <c r="N210" s="373"/>
      <c r="O210" s="373"/>
      <c r="P210" s="373"/>
      <c r="Q210" s="373"/>
      <c r="R210" s="373"/>
      <c r="S210" s="373"/>
      <c r="T210" s="373"/>
      <c r="U210" s="373"/>
      <c r="V210" s="373"/>
    </row>
    <row r="211" spans="6:22" ht="58.5" customHeight="1" x14ac:dyDescent="0.3">
      <c r="F211" s="373"/>
      <c r="G211" s="373"/>
      <c r="H211" s="373"/>
      <c r="I211" s="373"/>
      <c r="J211" s="373"/>
      <c r="K211" s="374"/>
      <c r="L211" s="373"/>
      <c r="M211" s="373"/>
      <c r="N211" s="373"/>
      <c r="O211" s="373"/>
      <c r="P211" s="373"/>
      <c r="Q211" s="373"/>
      <c r="R211" s="373"/>
      <c r="S211" s="373"/>
      <c r="T211" s="373"/>
      <c r="U211" s="373"/>
      <c r="V211" s="373"/>
    </row>
    <row r="212" spans="6:22" ht="58.5" customHeight="1" x14ac:dyDescent="0.3">
      <c r="F212" s="373"/>
      <c r="G212" s="373"/>
      <c r="H212" s="373"/>
      <c r="I212" s="373"/>
      <c r="J212" s="373"/>
      <c r="K212" s="374"/>
      <c r="L212" s="373"/>
      <c r="M212" s="373"/>
      <c r="N212" s="373"/>
      <c r="O212" s="373"/>
      <c r="P212" s="373"/>
      <c r="Q212" s="373"/>
      <c r="R212" s="373"/>
      <c r="S212" s="373"/>
      <c r="T212" s="373"/>
      <c r="U212" s="373"/>
      <c r="V212" s="373"/>
    </row>
    <row r="213" spans="6:22" ht="58.5" customHeight="1" x14ac:dyDescent="0.3">
      <c r="F213" s="373"/>
      <c r="G213" s="373"/>
      <c r="H213" s="373"/>
      <c r="I213" s="373"/>
      <c r="J213" s="373"/>
      <c r="K213" s="374"/>
      <c r="L213" s="373"/>
      <c r="M213" s="373"/>
      <c r="N213" s="373"/>
      <c r="O213" s="373"/>
      <c r="P213" s="373"/>
      <c r="Q213" s="373"/>
      <c r="R213" s="373"/>
      <c r="S213" s="373"/>
      <c r="T213" s="373"/>
      <c r="U213" s="373"/>
      <c r="V213" s="373"/>
    </row>
    <row r="214" spans="6:22" ht="58.5" customHeight="1" x14ac:dyDescent="0.3">
      <c r="F214" s="373"/>
      <c r="G214" s="373"/>
      <c r="H214" s="373"/>
      <c r="I214" s="373"/>
      <c r="J214" s="373"/>
      <c r="K214" s="374"/>
      <c r="L214" s="373"/>
      <c r="M214" s="373"/>
      <c r="N214" s="373"/>
      <c r="O214" s="373"/>
      <c r="P214" s="373"/>
      <c r="Q214" s="373"/>
      <c r="R214" s="373"/>
      <c r="S214" s="373"/>
      <c r="T214" s="373"/>
      <c r="U214" s="373"/>
      <c r="V214" s="373"/>
    </row>
    <row r="215" spans="6:22" ht="58.5" customHeight="1" x14ac:dyDescent="0.3">
      <c r="F215" s="373"/>
      <c r="G215" s="373"/>
      <c r="H215" s="373"/>
      <c r="I215" s="373"/>
      <c r="J215" s="373"/>
      <c r="K215" s="374"/>
      <c r="L215" s="373"/>
      <c r="M215" s="373"/>
      <c r="N215" s="373"/>
      <c r="O215" s="373"/>
      <c r="P215" s="373"/>
      <c r="Q215" s="373"/>
      <c r="R215" s="373"/>
      <c r="S215" s="373"/>
      <c r="T215" s="373"/>
      <c r="U215" s="373"/>
      <c r="V215" s="373"/>
    </row>
    <row r="216" spans="6:22" ht="58.5" customHeight="1" x14ac:dyDescent="0.3">
      <c r="F216" s="373"/>
      <c r="G216" s="373"/>
      <c r="H216" s="373"/>
      <c r="I216" s="373"/>
      <c r="J216" s="373"/>
      <c r="K216" s="374"/>
      <c r="L216" s="373"/>
      <c r="M216" s="373"/>
      <c r="N216" s="373"/>
      <c r="O216" s="373"/>
      <c r="P216" s="373"/>
      <c r="Q216" s="373"/>
      <c r="R216" s="373"/>
      <c r="S216" s="373"/>
      <c r="T216" s="373"/>
      <c r="U216" s="373"/>
      <c r="V216" s="373"/>
    </row>
    <row r="217" spans="6:22" ht="58.5" customHeight="1" x14ac:dyDescent="0.3">
      <c r="F217" s="373"/>
      <c r="G217" s="373"/>
      <c r="H217" s="373"/>
      <c r="I217" s="373"/>
      <c r="J217" s="373"/>
      <c r="K217" s="374"/>
      <c r="L217" s="373"/>
      <c r="M217" s="373"/>
      <c r="N217" s="373"/>
      <c r="O217" s="373"/>
      <c r="P217" s="373"/>
      <c r="Q217" s="373"/>
      <c r="R217" s="373"/>
      <c r="S217" s="373"/>
      <c r="T217" s="373"/>
      <c r="U217" s="373"/>
      <c r="V217" s="373"/>
    </row>
    <row r="218" spans="6:22" ht="58.5" customHeight="1" x14ac:dyDescent="0.3">
      <c r="F218" s="373"/>
      <c r="G218" s="373"/>
      <c r="H218" s="373"/>
      <c r="I218" s="373"/>
      <c r="J218" s="373"/>
      <c r="K218" s="374"/>
      <c r="L218" s="373"/>
      <c r="M218" s="373"/>
      <c r="N218" s="373"/>
      <c r="O218" s="373"/>
      <c r="P218" s="373"/>
      <c r="Q218" s="373"/>
      <c r="R218" s="373"/>
      <c r="S218" s="373"/>
      <c r="T218" s="373"/>
      <c r="U218" s="373"/>
      <c r="V218" s="373"/>
    </row>
    <row r="219" spans="6:22" ht="58.5" customHeight="1" x14ac:dyDescent="0.3">
      <c r="F219" s="373"/>
      <c r="G219" s="373"/>
      <c r="H219" s="373"/>
      <c r="I219" s="373"/>
      <c r="J219" s="373"/>
      <c r="K219" s="374"/>
      <c r="L219" s="373"/>
      <c r="M219" s="373"/>
      <c r="N219" s="373"/>
      <c r="O219" s="373"/>
      <c r="P219" s="373"/>
      <c r="Q219" s="373"/>
      <c r="R219" s="373"/>
      <c r="S219" s="373"/>
      <c r="T219" s="373"/>
      <c r="U219" s="373"/>
      <c r="V219" s="373"/>
    </row>
    <row r="220" spans="6:22" ht="58.5" customHeight="1" x14ac:dyDescent="0.3">
      <c r="F220" s="373"/>
      <c r="G220" s="373"/>
      <c r="H220" s="373"/>
      <c r="I220" s="373"/>
      <c r="J220" s="373"/>
      <c r="K220" s="374"/>
      <c r="L220" s="373"/>
      <c r="M220" s="373"/>
      <c r="N220" s="373"/>
      <c r="O220" s="373"/>
      <c r="P220" s="373"/>
      <c r="Q220" s="373"/>
      <c r="R220" s="373"/>
      <c r="S220" s="373"/>
      <c r="T220" s="373"/>
      <c r="U220" s="373"/>
      <c r="V220" s="373"/>
    </row>
    <row r="221" spans="6:22" ht="58.5" customHeight="1" x14ac:dyDescent="0.3">
      <c r="F221" s="373"/>
      <c r="G221" s="373"/>
      <c r="H221" s="373"/>
      <c r="I221" s="373"/>
      <c r="J221" s="373"/>
      <c r="K221" s="374"/>
      <c r="L221" s="373"/>
      <c r="M221" s="373"/>
      <c r="N221" s="373"/>
      <c r="O221" s="373"/>
      <c r="P221" s="373"/>
      <c r="Q221" s="373"/>
      <c r="R221" s="373"/>
      <c r="S221" s="373"/>
      <c r="T221" s="373"/>
      <c r="U221" s="373"/>
      <c r="V221" s="373"/>
    </row>
    <row r="222" spans="6:22" ht="58.5" customHeight="1" x14ac:dyDescent="0.3">
      <c r="F222" s="373"/>
      <c r="G222" s="373"/>
      <c r="H222" s="373"/>
      <c r="I222" s="373"/>
      <c r="J222" s="373"/>
      <c r="K222" s="374"/>
      <c r="L222" s="373"/>
      <c r="M222" s="373"/>
      <c r="N222" s="373"/>
      <c r="O222" s="373"/>
      <c r="P222" s="373"/>
      <c r="Q222" s="373"/>
      <c r="R222" s="373"/>
      <c r="S222" s="373"/>
      <c r="T222" s="373"/>
      <c r="U222" s="373"/>
      <c r="V222" s="373"/>
    </row>
    <row r="223" spans="6:22" ht="58.5" customHeight="1" x14ac:dyDescent="0.3">
      <c r="F223" s="373"/>
      <c r="G223" s="373"/>
      <c r="H223" s="373"/>
      <c r="I223" s="373"/>
      <c r="J223" s="373"/>
      <c r="K223" s="374"/>
      <c r="L223" s="373"/>
      <c r="M223" s="373"/>
      <c r="N223" s="373"/>
      <c r="O223" s="373"/>
      <c r="P223" s="373"/>
      <c r="Q223" s="373"/>
      <c r="R223" s="373"/>
      <c r="S223" s="373"/>
      <c r="T223" s="373"/>
      <c r="U223" s="373"/>
      <c r="V223" s="373"/>
    </row>
    <row r="224" spans="6:22" ht="58.5" customHeight="1" x14ac:dyDescent="0.3">
      <c r="F224" s="373"/>
      <c r="G224" s="373"/>
      <c r="H224" s="373"/>
      <c r="I224" s="373"/>
      <c r="J224" s="373"/>
      <c r="K224" s="374"/>
      <c r="L224" s="373"/>
      <c r="M224" s="373"/>
      <c r="N224" s="373"/>
      <c r="O224" s="373"/>
      <c r="P224" s="373"/>
      <c r="Q224" s="373"/>
      <c r="R224" s="373"/>
      <c r="S224" s="373"/>
      <c r="T224" s="373"/>
      <c r="U224" s="373"/>
      <c r="V224" s="373"/>
    </row>
    <row r="225" spans="6:22" ht="58.5" customHeight="1" x14ac:dyDescent="0.3">
      <c r="F225" s="373"/>
      <c r="G225" s="373"/>
      <c r="H225" s="373"/>
      <c r="I225" s="373"/>
      <c r="J225" s="373"/>
      <c r="K225" s="374"/>
      <c r="L225" s="373"/>
      <c r="M225" s="373"/>
      <c r="N225" s="373"/>
      <c r="O225" s="373"/>
      <c r="P225" s="373"/>
      <c r="Q225" s="373"/>
      <c r="R225" s="373"/>
      <c r="S225" s="373"/>
      <c r="T225" s="373"/>
      <c r="U225" s="373"/>
      <c r="V225" s="373"/>
    </row>
    <row r="226" spans="6:22" ht="58.5" customHeight="1" x14ac:dyDescent="0.3">
      <c r="F226" s="373"/>
      <c r="G226" s="373"/>
      <c r="H226" s="373"/>
      <c r="I226" s="373"/>
      <c r="J226" s="373"/>
      <c r="K226" s="374"/>
      <c r="L226" s="373"/>
      <c r="M226" s="373"/>
      <c r="N226" s="373"/>
      <c r="O226" s="373"/>
      <c r="P226" s="373"/>
      <c r="Q226" s="373"/>
      <c r="R226" s="373"/>
      <c r="S226" s="373"/>
      <c r="T226" s="373"/>
      <c r="U226" s="373"/>
      <c r="V226" s="373"/>
    </row>
    <row r="227" spans="6:22" ht="58.5" customHeight="1" x14ac:dyDescent="0.3">
      <c r="F227" s="373"/>
      <c r="G227" s="373"/>
      <c r="H227" s="373"/>
      <c r="I227" s="373"/>
      <c r="J227" s="373"/>
      <c r="K227" s="374"/>
      <c r="L227" s="373"/>
      <c r="M227" s="373"/>
      <c r="N227" s="373"/>
      <c r="O227" s="373"/>
      <c r="P227" s="373"/>
      <c r="Q227" s="373"/>
      <c r="R227" s="373"/>
      <c r="S227" s="373"/>
      <c r="T227" s="373"/>
      <c r="U227" s="373"/>
      <c r="V227" s="373"/>
    </row>
    <row r="228" spans="6:22" ht="58.5" customHeight="1" x14ac:dyDescent="0.3">
      <c r="F228" s="373"/>
      <c r="G228" s="373"/>
      <c r="H228" s="373"/>
      <c r="I228" s="373"/>
      <c r="J228" s="373"/>
      <c r="K228" s="374"/>
      <c r="L228" s="373"/>
      <c r="M228" s="373"/>
      <c r="N228" s="373"/>
      <c r="O228" s="373"/>
      <c r="P228" s="373"/>
      <c r="Q228" s="373"/>
      <c r="R228" s="373"/>
      <c r="S228" s="373"/>
      <c r="T228" s="373"/>
      <c r="U228" s="373"/>
      <c r="V228" s="373"/>
    </row>
    <row r="229" spans="6:22" ht="58.5" customHeight="1" x14ac:dyDescent="0.3">
      <c r="F229" s="373"/>
      <c r="G229" s="373"/>
      <c r="H229" s="373"/>
      <c r="I229" s="373"/>
      <c r="J229" s="373"/>
      <c r="K229" s="374"/>
      <c r="L229" s="373"/>
      <c r="M229" s="373"/>
      <c r="N229" s="373"/>
      <c r="O229" s="373"/>
      <c r="P229" s="373"/>
      <c r="Q229" s="373"/>
      <c r="R229" s="373"/>
      <c r="S229" s="373"/>
      <c r="T229" s="373"/>
      <c r="U229" s="373"/>
      <c r="V229" s="373"/>
    </row>
    <row r="230" spans="6:22" ht="58.5" customHeight="1" x14ac:dyDescent="0.3">
      <c r="F230" s="373"/>
      <c r="G230" s="373"/>
      <c r="H230" s="373"/>
      <c r="I230" s="373"/>
      <c r="J230" s="373"/>
      <c r="K230" s="374"/>
      <c r="L230" s="373"/>
      <c r="M230" s="373"/>
      <c r="N230" s="373"/>
      <c r="O230" s="373"/>
      <c r="P230" s="373"/>
      <c r="Q230" s="373"/>
      <c r="R230" s="373"/>
      <c r="S230" s="373"/>
      <c r="T230" s="373"/>
      <c r="U230" s="373"/>
      <c r="V230" s="373"/>
    </row>
    <row r="231" spans="6:22" ht="58.5" customHeight="1" x14ac:dyDescent="0.3">
      <c r="F231" s="373"/>
      <c r="G231" s="373"/>
      <c r="H231" s="373"/>
      <c r="I231" s="373"/>
      <c r="J231" s="373"/>
      <c r="K231" s="374"/>
      <c r="L231" s="373"/>
      <c r="M231" s="373"/>
      <c r="N231" s="373"/>
      <c r="O231" s="373"/>
      <c r="P231" s="373"/>
      <c r="Q231" s="373"/>
      <c r="R231" s="373"/>
      <c r="S231" s="373"/>
      <c r="T231" s="373"/>
      <c r="U231" s="373"/>
      <c r="V231" s="373"/>
    </row>
    <row r="232" spans="6:22" ht="58.5" customHeight="1" x14ac:dyDescent="0.3">
      <c r="F232" s="373"/>
      <c r="G232" s="373"/>
      <c r="H232" s="373"/>
      <c r="I232" s="373"/>
      <c r="J232" s="373"/>
      <c r="K232" s="374"/>
      <c r="L232" s="373"/>
      <c r="M232" s="373"/>
      <c r="N232" s="373"/>
      <c r="O232" s="373"/>
      <c r="P232" s="373"/>
      <c r="Q232" s="373"/>
      <c r="R232" s="373"/>
      <c r="S232" s="373"/>
      <c r="T232" s="373"/>
      <c r="U232" s="373"/>
      <c r="V232" s="373"/>
    </row>
    <row r="233" spans="6:22" ht="58.5" customHeight="1" x14ac:dyDescent="0.3">
      <c r="F233" s="373"/>
      <c r="G233" s="373"/>
      <c r="H233" s="373"/>
      <c r="I233" s="373"/>
      <c r="J233" s="373"/>
      <c r="K233" s="374"/>
      <c r="L233" s="373"/>
      <c r="M233" s="373"/>
      <c r="N233" s="373"/>
      <c r="O233" s="373"/>
      <c r="P233" s="373"/>
      <c r="Q233" s="373"/>
      <c r="R233" s="373"/>
      <c r="S233" s="373"/>
      <c r="T233" s="373"/>
      <c r="U233" s="373"/>
      <c r="V233" s="373"/>
    </row>
    <row r="234" spans="6:22" ht="58.5" customHeight="1" x14ac:dyDescent="0.3">
      <c r="F234" s="373"/>
      <c r="G234" s="373"/>
      <c r="H234" s="373"/>
      <c r="I234" s="373"/>
      <c r="J234" s="373"/>
      <c r="K234" s="374"/>
      <c r="L234" s="373"/>
      <c r="M234" s="373"/>
      <c r="N234" s="373"/>
      <c r="O234" s="373"/>
      <c r="P234" s="373"/>
      <c r="Q234" s="373"/>
      <c r="R234" s="373"/>
      <c r="S234" s="373"/>
      <c r="T234" s="373"/>
      <c r="U234" s="373"/>
      <c r="V234" s="373"/>
    </row>
    <row r="235" spans="6:22" ht="58.5" customHeight="1" x14ac:dyDescent="0.3">
      <c r="F235" s="373"/>
      <c r="G235" s="373"/>
      <c r="H235" s="373"/>
      <c r="I235" s="373"/>
      <c r="J235" s="373"/>
      <c r="K235" s="374"/>
      <c r="L235" s="373"/>
      <c r="M235" s="373"/>
      <c r="N235" s="373"/>
      <c r="O235" s="373"/>
      <c r="P235" s="373"/>
      <c r="Q235" s="373"/>
      <c r="R235" s="373"/>
      <c r="S235" s="373"/>
      <c r="T235" s="373"/>
      <c r="U235" s="373"/>
      <c r="V235" s="373"/>
    </row>
    <row r="236" spans="6:22" ht="58.5" customHeight="1" x14ac:dyDescent="0.3">
      <c r="F236" s="373"/>
      <c r="G236" s="373"/>
      <c r="H236" s="373"/>
      <c r="I236" s="373"/>
      <c r="J236" s="373"/>
      <c r="K236" s="374"/>
      <c r="L236" s="373"/>
      <c r="M236" s="373"/>
      <c r="N236" s="373"/>
      <c r="O236" s="373"/>
      <c r="P236" s="373"/>
      <c r="Q236" s="373"/>
      <c r="R236" s="373"/>
      <c r="S236" s="373"/>
      <c r="T236" s="373"/>
      <c r="U236" s="373"/>
      <c r="V236" s="373"/>
    </row>
    <row r="237" spans="6:22" ht="58.5" customHeight="1" x14ac:dyDescent="0.3">
      <c r="F237" s="373"/>
      <c r="G237" s="373"/>
      <c r="H237" s="373"/>
      <c r="I237" s="373"/>
      <c r="J237" s="373"/>
      <c r="K237" s="374"/>
      <c r="L237" s="373"/>
      <c r="M237" s="373"/>
      <c r="N237" s="373"/>
      <c r="O237" s="373"/>
      <c r="P237" s="373"/>
      <c r="Q237" s="373"/>
      <c r="R237" s="373"/>
      <c r="S237" s="373"/>
      <c r="T237" s="373"/>
      <c r="U237" s="373"/>
      <c r="V237" s="373"/>
    </row>
    <row r="238" spans="6:22" ht="58.5" customHeight="1" x14ac:dyDescent="0.3">
      <c r="F238" s="373"/>
      <c r="G238" s="373"/>
      <c r="H238" s="373"/>
      <c r="I238" s="373"/>
      <c r="J238" s="373"/>
      <c r="K238" s="374"/>
      <c r="L238" s="373"/>
      <c r="M238" s="373"/>
      <c r="N238" s="373"/>
      <c r="O238" s="373"/>
      <c r="P238" s="373"/>
      <c r="Q238" s="373"/>
      <c r="R238" s="373"/>
      <c r="S238" s="373"/>
      <c r="T238" s="373"/>
      <c r="U238" s="373"/>
      <c r="V238" s="373"/>
    </row>
    <row r="239" spans="6:22" ht="58.5" customHeight="1" x14ac:dyDescent="0.3">
      <c r="F239" s="373"/>
      <c r="G239" s="373"/>
      <c r="H239" s="373"/>
      <c r="I239" s="373"/>
      <c r="J239" s="373"/>
      <c r="K239" s="374"/>
      <c r="L239" s="373"/>
      <c r="M239" s="373"/>
      <c r="N239" s="373"/>
      <c r="O239" s="373"/>
      <c r="P239" s="373"/>
      <c r="Q239" s="373"/>
      <c r="R239" s="373"/>
      <c r="S239" s="373"/>
      <c r="T239" s="373"/>
      <c r="U239" s="373"/>
      <c r="V239" s="373"/>
    </row>
    <row r="240" spans="6:22" ht="58.5" customHeight="1" x14ac:dyDescent="0.3">
      <c r="F240" s="373"/>
      <c r="G240" s="373"/>
      <c r="H240" s="373"/>
      <c r="I240" s="373"/>
      <c r="J240" s="373"/>
      <c r="K240" s="374"/>
      <c r="L240" s="373"/>
      <c r="M240" s="373"/>
      <c r="N240" s="373"/>
      <c r="O240" s="373"/>
      <c r="P240" s="373"/>
      <c r="Q240" s="373"/>
      <c r="R240" s="373"/>
      <c r="S240" s="373"/>
      <c r="T240" s="373"/>
      <c r="U240" s="373"/>
      <c r="V240" s="373"/>
    </row>
    <row r="241" spans="6:22" ht="58.5" customHeight="1" x14ac:dyDescent="0.3">
      <c r="F241" s="373"/>
      <c r="G241" s="373"/>
      <c r="H241" s="373"/>
      <c r="I241" s="373"/>
      <c r="J241" s="373"/>
      <c r="K241" s="374"/>
      <c r="L241" s="373"/>
      <c r="M241" s="373"/>
      <c r="N241" s="373"/>
      <c r="O241" s="373"/>
      <c r="P241" s="373"/>
      <c r="Q241" s="373"/>
      <c r="R241" s="373"/>
      <c r="S241" s="373"/>
      <c r="T241" s="373"/>
      <c r="U241" s="373"/>
      <c r="V241" s="373"/>
    </row>
    <row r="242" spans="6:22" ht="58.5" customHeight="1" x14ac:dyDescent="0.3">
      <c r="F242" s="373"/>
      <c r="G242" s="373"/>
      <c r="H242" s="373"/>
      <c r="I242" s="373"/>
      <c r="J242" s="373"/>
      <c r="K242" s="374"/>
      <c r="L242" s="373"/>
      <c r="M242" s="373"/>
      <c r="N242" s="373"/>
      <c r="O242" s="373"/>
      <c r="P242" s="373"/>
      <c r="Q242" s="373"/>
      <c r="R242" s="373"/>
      <c r="S242" s="373"/>
      <c r="T242" s="373"/>
      <c r="U242" s="373"/>
      <c r="V242" s="373"/>
    </row>
    <row r="243" spans="6:22" ht="58.5" customHeight="1" x14ac:dyDescent="0.3">
      <c r="F243" s="373"/>
      <c r="G243" s="373"/>
      <c r="H243" s="373"/>
      <c r="I243" s="373"/>
      <c r="J243" s="373"/>
      <c r="K243" s="374"/>
      <c r="L243" s="373"/>
      <c r="M243" s="373"/>
      <c r="N243" s="373"/>
      <c r="O243" s="373"/>
      <c r="P243" s="373"/>
      <c r="Q243" s="373"/>
      <c r="R243" s="373"/>
      <c r="S243" s="373"/>
      <c r="T243" s="373"/>
      <c r="U243" s="373"/>
      <c r="V243" s="373"/>
    </row>
    <row r="244" spans="6:22" ht="58.5" customHeight="1" x14ac:dyDescent="0.3">
      <c r="F244" s="373"/>
      <c r="G244" s="373"/>
      <c r="H244" s="373"/>
      <c r="I244" s="373"/>
      <c r="J244" s="373"/>
      <c r="K244" s="374"/>
      <c r="L244" s="373"/>
      <c r="M244" s="373"/>
      <c r="N244" s="373"/>
      <c r="O244" s="373"/>
      <c r="P244" s="373"/>
      <c r="Q244" s="373"/>
      <c r="R244" s="373"/>
      <c r="S244" s="373"/>
      <c r="T244" s="373"/>
      <c r="U244" s="373"/>
      <c r="V244" s="373"/>
    </row>
    <row r="245" spans="6:22" ht="58.5" customHeight="1" x14ac:dyDescent="0.3">
      <c r="F245" s="373"/>
      <c r="G245" s="373"/>
      <c r="H245" s="373"/>
      <c r="I245" s="373"/>
      <c r="J245" s="373"/>
      <c r="K245" s="374"/>
      <c r="L245" s="373"/>
      <c r="M245" s="373"/>
      <c r="N245" s="373"/>
      <c r="O245" s="373"/>
      <c r="P245" s="373"/>
      <c r="Q245" s="373"/>
      <c r="R245" s="373"/>
      <c r="S245" s="373"/>
      <c r="T245" s="373"/>
      <c r="U245" s="373"/>
      <c r="V245" s="373"/>
    </row>
    <row r="246" spans="6:22" ht="58.5" customHeight="1" x14ac:dyDescent="0.3">
      <c r="F246" s="373"/>
      <c r="G246" s="373"/>
      <c r="H246" s="373"/>
      <c r="I246" s="373"/>
      <c r="J246" s="373"/>
      <c r="K246" s="374"/>
      <c r="L246" s="373"/>
      <c r="M246" s="373"/>
      <c r="N246" s="373"/>
      <c r="O246" s="373"/>
      <c r="P246" s="373"/>
      <c r="Q246" s="373"/>
      <c r="R246" s="373"/>
      <c r="S246" s="373"/>
      <c r="T246" s="373"/>
      <c r="U246" s="373"/>
      <c r="V246" s="373"/>
    </row>
    <row r="247" spans="6:22" ht="58.5" customHeight="1" x14ac:dyDescent="0.3">
      <c r="F247" s="373"/>
      <c r="G247" s="373"/>
      <c r="H247" s="373"/>
      <c r="I247" s="373"/>
      <c r="J247" s="373"/>
      <c r="K247" s="374"/>
      <c r="L247" s="373"/>
      <c r="M247" s="373"/>
      <c r="N247" s="373"/>
      <c r="O247" s="373"/>
      <c r="P247" s="373"/>
      <c r="Q247" s="373"/>
      <c r="R247" s="373"/>
      <c r="S247" s="373"/>
      <c r="T247" s="373"/>
      <c r="U247" s="373"/>
      <c r="V247" s="373"/>
    </row>
    <row r="248" spans="6:22" ht="58.5" customHeight="1" x14ac:dyDescent="0.3">
      <c r="F248" s="373"/>
      <c r="G248" s="373"/>
      <c r="H248" s="373"/>
      <c r="I248" s="373"/>
      <c r="J248" s="373"/>
      <c r="K248" s="374"/>
      <c r="L248" s="373"/>
      <c r="M248" s="373"/>
      <c r="N248" s="373"/>
      <c r="O248" s="373"/>
      <c r="P248" s="373"/>
      <c r="Q248" s="373"/>
      <c r="R248" s="373"/>
      <c r="S248" s="373"/>
      <c r="T248" s="373"/>
      <c r="U248" s="373"/>
      <c r="V248" s="373"/>
    </row>
    <row r="249" spans="6:22" ht="58.5" customHeight="1" x14ac:dyDescent="0.3">
      <c r="F249" s="373"/>
      <c r="G249" s="373"/>
      <c r="H249" s="373"/>
      <c r="I249" s="373"/>
      <c r="J249" s="373"/>
      <c r="K249" s="374"/>
      <c r="L249" s="373"/>
      <c r="M249" s="373"/>
      <c r="N249" s="373"/>
      <c r="O249" s="373"/>
      <c r="P249" s="373"/>
      <c r="Q249" s="373"/>
      <c r="R249" s="373"/>
      <c r="S249" s="373"/>
      <c r="T249" s="373"/>
      <c r="U249" s="373"/>
      <c r="V249" s="373"/>
    </row>
    <row r="250" spans="6:22" ht="58.5" customHeight="1" x14ac:dyDescent="0.3">
      <c r="F250" s="373"/>
      <c r="G250" s="373"/>
      <c r="H250" s="373"/>
      <c r="I250" s="373"/>
      <c r="J250" s="373"/>
      <c r="K250" s="374"/>
      <c r="L250" s="373"/>
      <c r="M250" s="373"/>
      <c r="N250" s="373"/>
      <c r="O250" s="373"/>
      <c r="P250" s="373"/>
      <c r="Q250" s="373"/>
      <c r="R250" s="373"/>
      <c r="S250" s="373"/>
      <c r="T250" s="373"/>
      <c r="U250" s="373"/>
      <c r="V250" s="373"/>
    </row>
    <row r="251" spans="6:22" ht="58.5" customHeight="1" x14ac:dyDescent="0.3">
      <c r="F251" s="373"/>
      <c r="G251" s="373"/>
      <c r="H251" s="373"/>
      <c r="I251" s="373"/>
      <c r="J251" s="373"/>
      <c r="K251" s="374"/>
      <c r="L251" s="373"/>
      <c r="M251" s="373"/>
      <c r="N251" s="373"/>
      <c r="O251" s="373"/>
      <c r="P251" s="373"/>
      <c r="Q251" s="373"/>
      <c r="R251" s="373"/>
      <c r="S251" s="373"/>
      <c r="T251" s="373"/>
      <c r="U251" s="373"/>
      <c r="V251" s="373"/>
    </row>
    <row r="252" spans="6:22" ht="58.5" customHeight="1" x14ac:dyDescent="0.3">
      <c r="F252" s="373"/>
      <c r="G252" s="373"/>
      <c r="H252" s="373"/>
      <c r="I252" s="373"/>
      <c r="J252" s="373"/>
      <c r="K252" s="374"/>
      <c r="L252" s="373"/>
      <c r="M252" s="373"/>
      <c r="N252" s="373"/>
      <c r="O252" s="373"/>
      <c r="P252" s="373"/>
      <c r="Q252" s="373"/>
      <c r="R252" s="373"/>
      <c r="S252" s="373"/>
      <c r="T252" s="373"/>
      <c r="U252" s="373"/>
      <c r="V252" s="373"/>
    </row>
    <row r="253" spans="6:22" ht="58.5" customHeight="1" x14ac:dyDescent="0.3">
      <c r="F253" s="373"/>
      <c r="G253" s="373"/>
      <c r="H253" s="373"/>
      <c r="I253" s="373"/>
      <c r="J253" s="373"/>
      <c r="K253" s="374"/>
      <c r="L253" s="373"/>
      <c r="M253" s="373"/>
      <c r="N253" s="373"/>
      <c r="O253" s="373"/>
      <c r="P253" s="373"/>
      <c r="Q253" s="373"/>
      <c r="R253" s="373"/>
      <c r="S253" s="373"/>
      <c r="T253" s="373"/>
      <c r="U253" s="373"/>
      <c r="V253" s="373"/>
    </row>
    <row r="254" spans="6:22" ht="58.5" customHeight="1" x14ac:dyDescent="0.3">
      <c r="F254" s="373"/>
      <c r="G254" s="373"/>
      <c r="H254" s="373"/>
      <c r="I254" s="373"/>
      <c r="J254" s="373"/>
      <c r="K254" s="374"/>
      <c r="L254" s="373"/>
      <c r="M254" s="373"/>
      <c r="N254" s="373"/>
      <c r="O254" s="373"/>
      <c r="P254" s="373"/>
      <c r="Q254" s="373"/>
      <c r="R254" s="373"/>
      <c r="S254" s="373"/>
      <c r="T254" s="373"/>
      <c r="U254" s="373"/>
      <c r="V254" s="373"/>
    </row>
    <row r="255" spans="6:22" ht="58.5" customHeight="1" x14ac:dyDescent="0.3">
      <c r="F255" s="373"/>
      <c r="G255" s="373"/>
      <c r="H255" s="373"/>
      <c r="I255" s="373"/>
      <c r="J255" s="373"/>
      <c r="K255" s="374"/>
      <c r="L255" s="373"/>
      <c r="M255" s="373"/>
      <c r="N255" s="373"/>
      <c r="O255" s="373"/>
      <c r="P255" s="373"/>
      <c r="Q255" s="373"/>
      <c r="R255" s="373"/>
      <c r="S255" s="373"/>
      <c r="T255" s="373"/>
      <c r="U255" s="373"/>
      <c r="V255" s="373"/>
    </row>
    <row r="256" spans="6:22" ht="58.5" customHeight="1" x14ac:dyDescent="0.3">
      <c r="F256" s="373"/>
      <c r="G256" s="373"/>
      <c r="H256" s="373"/>
      <c r="I256" s="373"/>
      <c r="J256" s="373"/>
      <c r="K256" s="374"/>
      <c r="L256" s="373"/>
      <c r="M256" s="373"/>
      <c r="N256" s="373"/>
      <c r="O256" s="373"/>
      <c r="P256" s="373"/>
      <c r="Q256" s="373"/>
      <c r="R256" s="373"/>
      <c r="S256" s="373"/>
      <c r="T256" s="373"/>
      <c r="U256" s="373"/>
      <c r="V256" s="373"/>
    </row>
    <row r="257" spans="6:22" ht="58.5" customHeight="1" x14ac:dyDescent="0.3">
      <c r="F257" s="373"/>
      <c r="G257" s="373"/>
      <c r="H257" s="373"/>
      <c r="I257" s="373"/>
      <c r="J257" s="373"/>
      <c r="K257" s="374"/>
      <c r="L257" s="373"/>
      <c r="M257" s="373"/>
      <c r="N257" s="373"/>
      <c r="O257" s="373"/>
      <c r="P257" s="373"/>
      <c r="Q257" s="373"/>
      <c r="R257" s="373"/>
      <c r="S257" s="373"/>
      <c r="T257" s="373"/>
      <c r="U257" s="373"/>
      <c r="V257" s="373"/>
    </row>
    <row r="258" spans="6:22" ht="58.5" customHeight="1" x14ac:dyDescent="0.3">
      <c r="F258" s="373"/>
      <c r="G258" s="373"/>
      <c r="H258" s="373"/>
      <c r="I258" s="373"/>
      <c r="J258" s="373"/>
      <c r="K258" s="374"/>
      <c r="L258" s="373"/>
      <c r="M258" s="373"/>
      <c r="N258" s="373"/>
      <c r="O258" s="373"/>
      <c r="P258" s="373"/>
      <c r="Q258" s="373"/>
      <c r="R258" s="373"/>
      <c r="S258" s="373"/>
      <c r="T258" s="373"/>
      <c r="U258" s="373"/>
      <c r="V258" s="373"/>
    </row>
    <row r="259" spans="6:22" ht="58.5" customHeight="1" x14ac:dyDescent="0.3">
      <c r="F259" s="373"/>
      <c r="G259" s="373"/>
      <c r="H259" s="373"/>
      <c r="I259" s="373"/>
      <c r="J259" s="373"/>
      <c r="K259" s="374"/>
      <c r="L259" s="373"/>
      <c r="M259" s="373"/>
      <c r="N259" s="373"/>
      <c r="O259" s="373"/>
      <c r="P259" s="373"/>
      <c r="Q259" s="373"/>
      <c r="R259" s="373"/>
      <c r="S259" s="373"/>
      <c r="T259" s="373"/>
      <c r="U259" s="373"/>
      <c r="V259" s="373"/>
    </row>
    <row r="260" spans="6:22" ht="58.5" customHeight="1" x14ac:dyDescent="0.3">
      <c r="F260" s="373"/>
      <c r="G260" s="373"/>
      <c r="H260" s="373"/>
      <c r="I260" s="373"/>
      <c r="J260" s="373"/>
      <c r="K260" s="374"/>
      <c r="L260" s="373"/>
      <c r="M260" s="373"/>
      <c r="N260" s="373"/>
      <c r="O260" s="373"/>
      <c r="P260" s="373"/>
      <c r="Q260" s="373"/>
      <c r="R260" s="373"/>
      <c r="S260" s="373"/>
      <c r="T260" s="373"/>
      <c r="U260" s="373"/>
      <c r="V260" s="373"/>
    </row>
    <row r="261" spans="6:22" ht="58.5" customHeight="1" x14ac:dyDescent="0.3">
      <c r="F261" s="373"/>
      <c r="G261" s="373"/>
      <c r="H261" s="373"/>
      <c r="I261" s="373"/>
      <c r="J261" s="373"/>
      <c r="K261" s="374"/>
      <c r="L261" s="373"/>
      <c r="M261" s="373"/>
      <c r="N261" s="373"/>
      <c r="O261" s="373"/>
      <c r="P261" s="373"/>
      <c r="Q261" s="373"/>
      <c r="R261" s="373"/>
      <c r="S261" s="373"/>
      <c r="T261" s="373"/>
      <c r="U261" s="373"/>
      <c r="V261" s="373"/>
    </row>
    <row r="262" spans="6:22" ht="58.5" customHeight="1" x14ac:dyDescent="0.3">
      <c r="F262" s="373"/>
      <c r="G262" s="373"/>
      <c r="H262" s="373"/>
      <c r="I262" s="373"/>
      <c r="J262" s="373"/>
      <c r="K262" s="374"/>
      <c r="L262" s="373"/>
      <c r="M262" s="373"/>
      <c r="N262" s="373"/>
      <c r="O262" s="373"/>
      <c r="P262" s="373"/>
      <c r="Q262" s="373"/>
      <c r="R262" s="373"/>
      <c r="S262" s="373"/>
      <c r="T262" s="373"/>
      <c r="U262" s="373"/>
      <c r="V262" s="373"/>
    </row>
    <row r="263" spans="6:22" ht="58.5" customHeight="1" x14ac:dyDescent="0.3">
      <c r="F263" s="373"/>
      <c r="G263" s="373"/>
      <c r="H263" s="373"/>
      <c r="I263" s="373"/>
      <c r="J263" s="373"/>
      <c r="K263" s="374"/>
      <c r="L263" s="373"/>
      <c r="M263" s="373"/>
      <c r="N263" s="373"/>
      <c r="O263" s="373"/>
      <c r="P263" s="373"/>
      <c r="Q263" s="373"/>
      <c r="R263" s="373"/>
      <c r="S263" s="373"/>
      <c r="T263" s="373"/>
      <c r="U263" s="373"/>
      <c r="V263" s="373"/>
    </row>
    <row r="264" spans="6:22" ht="58.5" customHeight="1" x14ac:dyDescent="0.3">
      <c r="F264" s="373"/>
      <c r="G264" s="373"/>
      <c r="H264" s="373"/>
      <c r="I264" s="373"/>
      <c r="J264" s="373"/>
      <c r="K264" s="374"/>
      <c r="L264" s="373"/>
      <c r="M264" s="373"/>
      <c r="N264" s="373"/>
      <c r="O264" s="373"/>
      <c r="P264" s="373"/>
      <c r="Q264" s="373"/>
      <c r="R264" s="373"/>
      <c r="S264" s="373"/>
      <c r="T264" s="373"/>
      <c r="U264" s="373"/>
      <c r="V264" s="373"/>
    </row>
    <row r="265" spans="6:22" ht="58.5" customHeight="1" x14ac:dyDescent="0.3">
      <c r="F265" s="373"/>
      <c r="G265" s="373"/>
      <c r="H265" s="373"/>
      <c r="I265" s="373"/>
      <c r="J265" s="373"/>
      <c r="K265" s="374"/>
      <c r="L265" s="373"/>
      <c r="M265" s="373"/>
      <c r="N265" s="373"/>
      <c r="O265" s="373"/>
      <c r="P265" s="373"/>
      <c r="Q265" s="373"/>
      <c r="R265" s="373"/>
      <c r="S265" s="373"/>
      <c r="T265" s="373"/>
      <c r="U265" s="373"/>
      <c r="V265" s="373"/>
    </row>
    <row r="266" spans="6:22" ht="58.5" customHeight="1" x14ac:dyDescent="0.3">
      <c r="F266" s="373"/>
      <c r="G266" s="373"/>
      <c r="H266" s="373"/>
      <c r="I266" s="373"/>
      <c r="J266" s="373"/>
      <c r="K266" s="374"/>
      <c r="L266" s="373"/>
      <c r="M266" s="373"/>
      <c r="N266" s="373"/>
      <c r="O266" s="373"/>
      <c r="P266" s="373"/>
      <c r="Q266" s="373"/>
      <c r="R266" s="373"/>
      <c r="S266" s="373"/>
      <c r="T266" s="373"/>
      <c r="U266" s="373"/>
      <c r="V266" s="373"/>
    </row>
    <row r="267" spans="6:22" ht="58.5" customHeight="1" x14ac:dyDescent="0.3">
      <c r="F267" s="373"/>
      <c r="G267" s="373"/>
      <c r="H267" s="373"/>
      <c r="I267" s="373"/>
      <c r="J267" s="373"/>
      <c r="K267" s="374"/>
      <c r="L267" s="373"/>
      <c r="M267" s="373"/>
      <c r="N267" s="373"/>
      <c r="O267" s="373"/>
      <c r="P267" s="373"/>
      <c r="Q267" s="373"/>
      <c r="R267" s="373"/>
      <c r="S267" s="373"/>
      <c r="T267" s="373"/>
      <c r="U267" s="373"/>
      <c r="V267" s="373"/>
    </row>
    <row r="268" spans="6:22" ht="58.5" customHeight="1" x14ac:dyDescent="0.3">
      <c r="F268" s="373"/>
      <c r="G268" s="373"/>
      <c r="H268" s="373"/>
      <c r="I268" s="373"/>
      <c r="J268" s="373"/>
      <c r="K268" s="374"/>
      <c r="L268" s="373"/>
      <c r="M268" s="373"/>
      <c r="N268" s="373"/>
      <c r="O268" s="373"/>
      <c r="P268" s="373"/>
      <c r="Q268" s="373"/>
      <c r="R268" s="373"/>
      <c r="S268" s="373"/>
      <c r="T268" s="373"/>
      <c r="U268" s="373"/>
      <c r="V268" s="373"/>
    </row>
    <row r="269" spans="6:22" ht="58.5" customHeight="1" x14ac:dyDescent="0.3">
      <c r="F269" s="373"/>
      <c r="G269" s="373"/>
      <c r="H269" s="373"/>
      <c r="I269" s="373"/>
      <c r="J269" s="373"/>
      <c r="K269" s="374"/>
      <c r="L269" s="373"/>
      <c r="M269" s="373"/>
      <c r="N269" s="373"/>
      <c r="O269" s="373"/>
      <c r="P269" s="373"/>
      <c r="Q269" s="373"/>
      <c r="R269" s="373"/>
      <c r="S269" s="373"/>
      <c r="T269" s="373"/>
      <c r="U269" s="373"/>
      <c r="V269" s="373"/>
    </row>
    <row r="270" spans="6:22" ht="58.5" customHeight="1" x14ac:dyDescent="0.3">
      <c r="F270" s="373"/>
      <c r="G270" s="373"/>
      <c r="H270" s="373"/>
      <c r="I270" s="373"/>
      <c r="J270" s="373"/>
      <c r="K270" s="374"/>
      <c r="L270" s="373"/>
      <c r="M270" s="373"/>
      <c r="N270" s="373"/>
      <c r="O270" s="373"/>
      <c r="P270" s="373"/>
      <c r="Q270" s="373"/>
      <c r="R270" s="373"/>
      <c r="S270" s="373"/>
      <c r="T270" s="373"/>
      <c r="U270" s="373"/>
      <c r="V270" s="373"/>
    </row>
    <row r="271" spans="6:22" ht="58.5" customHeight="1" x14ac:dyDescent="0.3">
      <c r="F271" s="373"/>
      <c r="G271" s="373"/>
      <c r="H271" s="373"/>
      <c r="I271" s="373"/>
      <c r="J271" s="373"/>
      <c r="K271" s="374"/>
      <c r="L271" s="373"/>
      <c r="M271" s="373"/>
      <c r="N271" s="373"/>
      <c r="O271" s="373"/>
      <c r="P271" s="373"/>
      <c r="Q271" s="373"/>
      <c r="R271" s="373"/>
      <c r="S271" s="373"/>
      <c r="T271" s="373"/>
      <c r="U271" s="373"/>
      <c r="V271" s="373"/>
    </row>
    <row r="272" spans="6:22" ht="58.5" customHeight="1" x14ac:dyDescent="0.3">
      <c r="F272" s="373"/>
      <c r="G272" s="373"/>
      <c r="H272" s="373"/>
      <c r="I272" s="373"/>
      <c r="J272" s="373"/>
      <c r="K272" s="374"/>
      <c r="L272" s="373"/>
      <c r="M272" s="373"/>
      <c r="N272" s="373"/>
      <c r="O272" s="373"/>
      <c r="P272" s="373"/>
      <c r="Q272" s="373"/>
      <c r="R272" s="373"/>
      <c r="S272" s="373"/>
      <c r="T272" s="373"/>
      <c r="U272" s="373"/>
      <c r="V272" s="373"/>
    </row>
    <row r="273" spans="6:22" ht="58.5" customHeight="1" x14ac:dyDescent="0.3">
      <c r="F273" s="373"/>
      <c r="G273" s="373"/>
      <c r="H273" s="373"/>
      <c r="I273" s="373"/>
      <c r="J273" s="373"/>
      <c r="K273" s="374"/>
      <c r="L273" s="373"/>
      <c r="M273" s="373"/>
      <c r="N273" s="373"/>
      <c r="O273" s="373"/>
      <c r="P273" s="373"/>
      <c r="Q273" s="373"/>
      <c r="R273" s="373"/>
      <c r="S273" s="373"/>
      <c r="T273" s="373"/>
      <c r="U273" s="373"/>
      <c r="V273" s="373"/>
    </row>
    <row r="274" spans="6:22" ht="58.5" customHeight="1" x14ac:dyDescent="0.3">
      <c r="F274" s="373"/>
      <c r="G274" s="373"/>
      <c r="H274" s="373"/>
      <c r="I274" s="373"/>
      <c r="J274" s="373"/>
      <c r="K274" s="374"/>
      <c r="L274" s="373"/>
      <c r="M274" s="373"/>
      <c r="N274" s="373"/>
      <c r="O274" s="373"/>
      <c r="P274" s="373"/>
      <c r="Q274" s="373"/>
      <c r="R274" s="373"/>
      <c r="S274" s="373"/>
      <c r="T274" s="373"/>
      <c r="U274" s="373"/>
      <c r="V274" s="373"/>
    </row>
    <row r="275" spans="6:22" ht="58.5" customHeight="1" x14ac:dyDescent="0.3">
      <c r="F275" s="373"/>
      <c r="G275" s="373"/>
      <c r="H275" s="373"/>
      <c r="I275" s="373"/>
      <c r="J275" s="373"/>
      <c r="K275" s="374"/>
      <c r="L275" s="373"/>
      <c r="M275" s="373"/>
      <c r="N275" s="373"/>
      <c r="O275" s="373"/>
      <c r="P275" s="373"/>
      <c r="Q275" s="373"/>
      <c r="R275" s="373"/>
      <c r="S275" s="373"/>
      <c r="T275" s="373"/>
      <c r="U275" s="373"/>
      <c r="V275" s="373"/>
    </row>
    <row r="276" spans="6:22" ht="58.5" customHeight="1" x14ac:dyDescent="0.3">
      <c r="F276" s="373"/>
      <c r="G276" s="373"/>
      <c r="H276" s="373"/>
      <c r="I276" s="373"/>
      <c r="J276" s="373"/>
      <c r="K276" s="374"/>
      <c r="L276" s="373"/>
      <c r="M276" s="373"/>
      <c r="N276" s="373"/>
      <c r="O276" s="373"/>
      <c r="P276" s="373"/>
      <c r="Q276" s="373"/>
      <c r="R276" s="373"/>
      <c r="S276" s="373"/>
      <c r="T276" s="373"/>
      <c r="U276" s="373"/>
      <c r="V276" s="373"/>
    </row>
    <row r="277" spans="6:22" ht="58.5" customHeight="1" x14ac:dyDescent="0.3">
      <c r="F277" s="373"/>
      <c r="G277" s="373"/>
      <c r="H277" s="373"/>
      <c r="I277" s="373"/>
      <c r="J277" s="373"/>
      <c r="K277" s="374"/>
      <c r="L277" s="373"/>
      <c r="M277" s="373"/>
      <c r="N277" s="373"/>
      <c r="O277" s="373"/>
      <c r="P277" s="373"/>
      <c r="Q277" s="373"/>
      <c r="R277" s="373"/>
      <c r="S277" s="373"/>
      <c r="T277" s="373"/>
      <c r="U277" s="373"/>
      <c r="V277" s="373"/>
    </row>
    <row r="278" spans="6:22" ht="58.5" customHeight="1" x14ac:dyDescent="0.3">
      <c r="F278" s="373"/>
      <c r="G278" s="373"/>
      <c r="H278" s="373"/>
      <c r="I278" s="373"/>
      <c r="J278" s="373"/>
      <c r="K278" s="374"/>
      <c r="L278" s="373"/>
      <c r="M278" s="373"/>
      <c r="N278" s="373"/>
      <c r="O278" s="373"/>
      <c r="P278" s="373"/>
      <c r="Q278" s="373"/>
      <c r="R278" s="373"/>
      <c r="S278" s="373"/>
      <c r="T278" s="373"/>
      <c r="U278" s="373"/>
      <c r="V278" s="373"/>
    </row>
    <row r="279" spans="6:22" ht="58.5" customHeight="1" x14ac:dyDescent="0.3">
      <c r="F279" s="373"/>
      <c r="G279" s="373"/>
      <c r="H279" s="373"/>
      <c r="I279" s="373"/>
      <c r="J279" s="373"/>
      <c r="K279" s="374"/>
      <c r="L279" s="373"/>
      <c r="M279" s="373"/>
      <c r="N279" s="373"/>
      <c r="O279" s="373"/>
      <c r="P279" s="373"/>
      <c r="Q279" s="373"/>
      <c r="R279" s="373"/>
      <c r="S279" s="373"/>
      <c r="T279" s="373"/>
      <c r="U279" s="373"/>
      <c r="V279" s="373"/>
    </row>
    <row r="280" spans="6:22" ht="58.5" customHeight="1" x14ac:dyDescent="0.3">
      <c r="F280" s="373"/>
      <c r="G280" s="373"/>
      <c r="H280" s="373"/>
      <c r="I280" s="373"/>
      <c r="J280" s="373"/>
      <c r="K280" s="374"/>
      <c r="L280" s="373"/>
      <c r="M280" s="373"/>
      <c r="N280" s="373"/>
      <c r="O280" s="373"/>
      <c r="P280" s="373"/>
      <c r="Q280" s="373"/>
      <c r="R280" s="373"/>
      <c r="S280" s="373"/>
      <c r="T280" s="373"/>
      <c r="U280" s="373"/>
      <c r="V280" s="373"/>
    </row>
    <row r="281" spans="6:22" ht="58.5" customHeight="1" x14ac:dyDescent="0.3">
      <c r="F281" s="373"/>
      <c r="G281" s="373"/>
      <c r="H281" s="373"/>
      <c r="I281" s="373"/>
      <c r="J281" s="373"/>
      <c r="K281" s="374"/>
      <c r="L281" s="373"/>
      <c r="M281" s="373"/>
      <c r="N281" s="373"/>
      <c r="O281" s="373"/>
      <c r="P281" s="373"/>
      <c r="Q281" s="373"/>
      <c r="R281" s="373"/>
      <c r="S281" s="373"/>
      <c r="T281" s="373"/>
      <c r="U281" s="373"/>
      <c r="V281" s="373"/>
    </row>
    <row r="282" spans="6:22" ht="58.5" customHeight="1" x14ac:dyDescent="0.3">
      <c r="F282" s="373"/>
      <c r="G282" s="373"/>
      <c r="H282" s="373"/>
      <c r="I282" s="373"/>
      <c r="J282" s="373"/>
      <c r="K282" s="374"/>
      <c r="L282" s="373"/>
      <c r="M282" s="373"/>
      <c r="N282" s="373"/>
      <c r="O282" s="373"/>
      <c r="P282" s="373"/>
      <c r="Q282" s="373"/>
      <c r="R282" s="373"/>
      <c r="S282" s="373"/>
      <c r="T282" s="373"/>
      <c r="U282" s="373"/>
      <c r="V282" s="373"/>
    </row>
    <row r="283" spans="6:22" ht="58.5" customHeight="1" x14ac:dyDescent="0.3">
      <c r="F283" s="373"/>
      <c r="G283" s="373"/>
      <c r="H283" s="373"/>
      <c r="I283" s="373"/>
      <c r="J283" s="373"/>
      <c r="K283" s="374"/>
      <c r="L283" s="373"/>
      <c r="M283" s="373"/>
      <c r="N283" s="373"/>
      <c r="O283" s="373"/>
      <c r="P283" s="373"/>
      <c r="Q283" s="373"/>
      <c r="R283" s="373"/>
      <c r="S283" s="373"/>
      <c r="T283" s="373"/>
      <c r="U283" s="373"/>
      <c r="V283" s="373"/>
    </row>
    <row r="284" spans="6:22" ht="58.5" customHeight="1" x14ac:dyDescent="0.3">
      <c r="F284" s="373"/>
      <c r="G284" s="373"/>
      <c r="H284" s="373"/>
      <c r="I284" s="373"/>
      <c r="J284" s="373"/>
      <c r="K284" s="374"/>
      <c r="L284" s="373"/>
      <c r="M284" s="373"/>
      <c r="N284" s="373"/>
      <c r="O284" s="373"/>
      <c r="P284" s="373"/>
      <c r="Q284" s="373"/>
      <c r="R284" s="373"/>
      <c r="S284" s="373"/>
      <c r="T284" s="373"/>
      <c r="U284" s="373"/>
      <c r="V284" s="373"/>
    </row>
    <row r="285" spans="6:22" ht="58.5" customHeight="1" x14ac:dyDescent="0.3">
      <c r="F285" s="373"/>
      <c r="G285" s="373"/>
      <c r="H285" s="373"/>
      <c r="I285" s="373"/>
      <c r="J285" s="373"/>
      <c r="K285" s="374"/>
      <c r="L285" s="373"/>
      <c r="M285" s="373"/>
      <c r="N285" s="373"/>
      <c r="O285" s="373"/>
      <c r="P285" s="373"/>
      <c r="Q285" s="373"/>
      <c r="R285" s="373"/>
      <c r="S285" s="373"/>
      <c r="T285" s="373"/>
      <c r="U285" s="373"/>
      <c r="V285" s="373"/>
    </row>
    <row r="286" spans="6:22" ht="58.5" customHeight="1" x14ac:dyDescent="0.3">
      <c r="F286" s="373"/>
      <c r="G286" s="373"/>
      <c r="H286" s="373"/>
      <c r="I286" s="373"/>
      <c r="J286" s="373"/>
      <c r="K286" s="374"/>
      <c r="L286" s="373"/>
      <c r="M286" s="373"/>
      <c r="N286" s="373"/>
      <c r="O286" s="373"/>
      <c r="P286" s="373"/>
      <c r="Q286" s="373"/>
      <c r="R286" s="373"/>
      <c r="S286" s="373"/>
      <c r="T286" s="373"/>
      <c r="U286" s="373"/>
      <c r="V286" s="373"/>
    </row>
    <row r="287" spans="6:22" ht="58.5" customHeight="1" x14ac:dyDescent="0.3">
      <c r="F287" s="373"/>
      <c r="G287" s="373"/>
      <c r="H287" s="373"/>
      <c r="I287" s="373"/>
      <c r="J287" s="373"/>
      <c r="K287" s="374"/>
      <c r="L287" s="373"/>
      <c r="M287" s="373"/>
      <c r="N287" s="373"/>
      <c r="O287" s="373"/>
      <c r="P287" s="373"/>
      <c r="Q287" s="373"/>
      <c r="R287" s="373"/>
      <c r="S287" s="373"/>
      <c r="T287" s="373"/>
      <c r="U287" s="373"/>
      <c r="V287" s="373"/>
    </row>
    <row r="288" spans="6:22" ht="58.5" customHeight="1" x14ac:dyDescent="0.3">
      <c r="F288" s="373"/>
      <c r="G288" s="373"/>
      <c r="H288" s="373"/>
      <c r="I288" s="373"/>
      <c r="J288" s="373"/>
      <c r="K288" s="374"/>
      <c r="L288" s="373"/>
      <c r="M288" s="373"/>
      <c r="N288" s="373"/>
      <c r="O288" s="373"/>
      <c r="P288" s="373"/>
      <c r="Q288" s="373"/>
      <c r="R288" s="373"/>
      <c r="S288" s="373"/>
      <c r="T288" s="373"/>
      <c r="U288" s="373"/>
      <c r="V288" s="373"/>
    </row>
    <row r="289" spans="6:22" ht="58.5" customHeight="1" x14ac:dyDescent="0.3">
      <c r="F289" s="373"/>
      <c r="G289" s="373"/>
      <c r="H289" s="373"/>
      <c r="I289" s="373"/>
      <c r="J289" s="373"/>
      <c r="K289" s="374"/>
      <c r="L289" s="373"/>
      <c r="M289" s="373"/>
      <c r="N289" s="373"/>
      <c r="O289" s="373"/>
      <c r="P289" s="373"/>
      <c r="Q289" s="373"/>
      <c r="R289" s="373"/>
      <c r="S289" s="373"/>
      <c r="T289" s="373"/>
      <c r="U289" s="373"/>
      <c r="V289" s="373"/>
    </row>
    <row r="290" spans="6:22" ht="58.5" customHeight="1" x14ac:dyDescent="0.3">
      <c r="F290" s="373"/>
      <c r="G290" s="373"/>
      <c r="H290" s="373"/>
      <c r="I290" s="373"/>
      <c r="J290" s="373"/>
      <c r="K290" s="374"/>
      <c r="L290" s="373"/>
      <c r="M290" s="373"/>
      <c r="N290" s="373"/>
      <c r="O290" s="373"/>
      <c r="P290" s="373"/>
      <c r="Q290" s="373"/>
      <c r="R290" s="373"/>
      <c r="S290" s="373"/>
      <c r="T290" s="373"/>
      <c r="U290" s="373"/>
      <c r="V290" s="373"/>
    </row>
    <row r="291" spans="6:22" ht="58.5" customHeight="1" x14ac:dyDescent="0.3">
      <c r="F291" s="373"/>
      <c r="G291" s="373"/>
      <c r="H291" s="373"/>
      <c r="I291" s="373"/>
      <c r="J291" s="373"/>
      <c r="K291" s="374"/>
      <c r="L291" s="373"/>
      <c r="M291" s="373"/>
      <c r="N291" s="373"/>
      <c r="O291" s="373"/>
      <c r="P291" s="373"/>
      <c r="Q291" s="373"/>
      <c r="R291" s="373"/>
      <c r="S291" s="373"/>
      <c r="T291" s="373"/>
      <c r="U291" s="373"/>
      <c r="V291" s="373"/>
    </row>
    <row r="292" spans="6:22" ht="58.5" customHeight="1" x14ac:dyDescent="0.3">
      <c r="F292" s="373"/>
      <c r="G292" s="373"/>
      <c r="H292" s="373"/>
      <c r="I292" s="373"/>
      <c r="J292" s="373"/>
      <c r="K292" s="374"/>
      <c r="L292" s="373"/>
      <c r="M292" s="373"/>
      <c r="N292" s="373"/>
      <c r="O292" s="373"/>
      <c r="P292" s="373"/>
      <c r="Q292" s="373"/>
      <c r="R292" s="373"/>
      <c r="S292" s="373"/>
      <c r="T292" s="373"/>
      <c r="U292" s="373"/>
      <c r="V292" s="373"/>
    </row>
    <row r="293" spans="6:22" ht="58.5" customHeight="1" x14ac:dyDescent="0.3">
      <c r="F293" s="373"/>
      <c r="G293" s="373"/>
      <c r="H293" s="373"/>
      <c r="I293" s="373"/>
      <c r="J293" s="373"/>
      <c r="K293" s="374"/>
      <c r="L293" s="373"/>
      <c r="M293" s="373"/>
      <c r="N293" s="373"/>
      <c r="O293" s="373"/>
      <c r="P293" s="373"/>
      <c r="Q293" s="373"/>
      <c r="R293" s="373"/>
      <c r="S293" s="373"/>
      <c r="T293" s="373"/>
      <c r="U293" s="373"/>
      <c r="V293" s="373"/>
    </row>
    <row r="294" spans="6:22" ht="58.5" customHeight="1" x14ac:dyDescent="0.3">
      <c r="F294" s="373"/>
      <c r="G294" s="373"/>
      <c r="H294" s="373"/>
      <c r="I294" s="373"/>
      <c r="J294" s="373"/>
      <c r="K294" s="374"/>
      <c r="L294" s="373"/>
      <c r="M294" s="373"/>
      <c r="N294" s="373"/>
      <c r="O294" s="373"/>
      <c r="P294" s="373"/>
      <c r="Q294" s="373"/>
      <c r="R294" s="373"/>
      <c r="S294" s="373"/>
      <c r="T294" s="373"/>
      <c r="U294" s="373"/>
      <c r="V294" s="373"/>
    </row>
    <row r="295" spans="6:22" ht="58.5" customHeight="1" x14ac:dyDescent="0.3">
      <c r="F295" s="373"/>
      <c r="G295" s="373"/>
      <c r="H295" s="373"/>
      <c r="I295" s="373"/>
      <c r="J295" s="373"/>
      <c r="K295" s="374"/>
      <c r="L295" s="373"/>
      <c r="M295" s="373"/>
      <c r="N295" s="373"/>
      <c r="O295" s="373"/>
      <c r="P295" s="373"/>
      <c r="Q295" s="373"/>
      <c r="R295" s="373"/>
      <c r="S295" s="373"/>
      <c r="T295" s="373"/>
      <c r="U295" s="373"/>
      <c r="V295" s="373"/>
    </row>
    <row r="296" spans="6:22" ht="58.5" customHeight="1" x14ac:dyDescent="0.3">
      <c r="F296" s="373"/>
      <c r="G296" s="373"/>
      <c r="H296" s="373"/>
      <c r="I296" s="373"/>
      <c r="J296" s="373"/>
      <c r="K296" s="374"/>
      <c r="L296" s="373"/>
      <c r="M296" s="373"/>
      <c r="N296" s="373"/>
      <c r="O296" s="373"/>
      <c r="P296" s="373"/>
      <c r="Q296" s="373"/>
      <c r="R296" s="373"/>
      <c r="S296" s="373"/>
      <c r="T296" s="373"/>
      <c r="U296" s="373"/>
      <c r="V296" s="373"/>
    </row>
    <row r="297" spans="6:22" ht="58.5" customHeight="1" x14ac:dyDescent="0.3">
      <c r="F297" s="373"/>
      <c r="G297" s="373"/>
      <c r="H297" s="373"/>
      <c r="I297" s="373"/>
      <c r="J297" s="373"/>
      <c r="K297" s="374"/>
      <c r="L297" s="373"/>
      <c r="M297" s="373"/>
      <c r="N297" s="373"/>
      <c r="O297" s="373"/>
      <c r="P297" s="373"/>
      <c r="Q297" s="373"/>
      <c r="R297" s="373"/>
      <c r="S297" s="373"/>
      <c r="T297" s="373"/>
      <c r="U297" s="373"/>
      <c r="V297" s="373"/>
    </row>
    <row r="298" spans="6:22" ht="58.5" customHeight="1" x14ac:dyDescent="0.3">
      <c r="F298" s="373"/>
      <c r="G298" s="373"/>
      <c r="H298" s="373"/>
      <c r="I298" s="373"/>
      <c r="J298" s="373"/>
      <c r="K298" s="374"/>
      <c r="L298" s="373"/>
      <c r="M298" s="373"/>
      <c r="N298" s="373"/>
      <c r="O298" s="373"/>
      <c r="P298" s="373"/>
      <c r="Q298" s="373"/>
      <c r="R298" s="373"/>
      <c r="S298" s="373"/>
      <c r="T298" s="373"/>
      <c r="U298" s="373"/>
      <c r="V298" s="373"/>
    </row>
    <row r="299" spans="6:22" ht="58.5" customHeight="1" x14ac:dyDescent="0.3">
      <c r="F299" s="373"/>
      <c r="G299" s="373"/>
      <c r="H299" s="373"/>
      <c r="I299" s="373"/>
      <c r="J299" s="373"/>
      <c r="K299" s="374"/>
      <c r="L299" s="373"/>
      <c r="M299" s="373"/>
      <c r="N299" s="373"/>
      <c r="O299" s="373"/>
      <c r="P299" s="373"/>
      <c r="Q299" s="373"/>
      <c r="R299" s="373"/>
      <c r="S299" s="373"/>
      <c r="T299" s="373"/>
      <c r="U299" s="373"/>
      <c r="V299" s="373"/>
    </row>
    <row r="300" spans="6:22" ht="58.5" customHeight="1" x14ac:dyDescent="0.3">
      <c r="F300" s="373"/>
      <c r="G300" s="373"/>
      <c r="H300" s="373"/>
      <c r="I300" s="373"/>
      <c r="J300" s="373"/>
      <c r="K300" s="374"/>
      <c r="L300" s="373"/>
      <c r="M300" s="373"/>
      <c r="N300" s="373"/>
      <c r="O300" s="373"/>
      <c r="P300" s="373"/>
      <c r="Q300" s="373"/>
      <c r="R300" s="373"/>
      <c r="S300" s="373"/>
      <c r="T300" s="373"/>
      <c r="U300" s="373"/>
      <c r="V300" s="373"/>
    </row>
    <row r="301" spans="6:22" ht="58.5" customHeight="1" x14ac:dyDescent="0.3">
      <c r="F301" s="373"/>
      <c r="G301" s="373"/>
      <c r="H301" s="373"/>
      <c r="I301" s="373"/>
      <c r="J301" s="373"/>
      <c r="K301" s="374"/>
      <c r="L301" s="373"/>
      <c r="M301" s="373"/>
      <c r="N301" s="373"/>
      <c r="O301" s="373"/>
      <c r="P301" s="373"/>
      <c r="Q301" s="373"/>
      <c r="R301" s="373"/>
      <c r="S301" s="373"/>
      <c r="T301" s="373"/>
      <c r="U301" s="373"/>
      <c r="V301" s="373"/>
    </row>
    <row r="302" spans="6:22" ht="58.5" customHeight="1" x14ac:dyDescent="0.3">
      <c r="F302" s="373"/>
      <c r="G302" s="373"/>
      <c r="H302" s="373"/>
      <c r="I302" s="373"/>
      <c r="J302" s="373"/>
      <c r="K302" s="374"/>
      <c r="L302" s="373"/>
      <c r="M302" s="373"/>
      <c r="N302" s="373"/>
      <c r="O302" s="373"/>
      <c r="P302" s="373"/>
      <c r="Q302" s="373"/>
      <c r="R302" s="373"/>
      <c r="S302" s="373"/>
      <c r="T302" s="373"/>
      <c r="U302" s="373"/>
      <c r="V302" s="373"/>
    </row>
    <row r="303" spans="6:22" ht="58.5" customHeight="1" x14ac:dyDescent="0.3">
      <c r="F303" s="373"/>
      <c r="G303" s="373"/>
      <c r="H303" s="373"/>
      <c r="I303" s="373"/>
      <c r="J303" s="373"/>
      <c r="K303" s="374"/>
      <c r="L303" s="373"/>
      <c r="M303" s="373"/>
      <c r="N303" s="373"/>
      <c r="O303" s="373"/>
      <c r="P303" s="373"/>
      <c r="Q303" s="373"/>
      <c r="R303" s="373"/>
      <c r="S303" s="373"/>
      <c r="T303" s="373"/>
      <c r="U303" s="373"/>
      <c r="V303" s="373"/>
    </row>
    <row r="304" spans="6:22" ht="58.5" customHeight="1" x14ac:dyDescent="0.3">
      <c r="F304" s="373"/>
      <c r="G304" s="373"/>
      <c r="H304" s="373"/>
      <c r="I304" s="373"/>
      <c r="J304" s="373"/>
      <c r="K304" s="374"/>
      <c r="L304" s="373"/>
      <c r="M304" s="373"/>
      <c r="N304" s="373"/>
      <c r="O304" s="373"/>
      <c r="P304" s="373"/>
      <c r="Q304" s="373"/>
      <c r="R304" s="373"/>
      <c r="S304" s="373"/>
      <c r="T304" s="373"/>
      <c r="U304" s="373"/>
      <c r="V304" s="373"/>
    </row>
    <row r="305" spans="6:22" ht="58.5" customHeight="1" x14ac:dyDescent="0.3">
      <c r="F305" s="373"/>
      <c r="G305" s="373"/>
      <c r="H305" s="373"/>
      <c r="I305" s="373"/>
      <c r="J305" s="373"/>
      <c r="K305" s="374"/>
      <c r="L305" s="373"/>
      <c r="M305" s="373"/>
      <c r="N305" s="373"/>
      <c r="O305" s="373"/>
      <c r="P305" s="373"/>
      <c r="Q305" s="373"/>
      <c r="R305" s="373"/>
      <c r="S305" s="373"/>
      <c r="T305" s="373"/>
      <c r="U305" s="373"/>
      <c r="V305" s="373"/>
    </row>
    <row r="306" spans="6:22" ht="58.5" customHeight="1" x14ac:dyDescent="0.3">
      <c r="F306" s="373"/>
      <c r="G306" s="373"/>
      <c r="H306" s="373"/>
      <c r="I306" s="373"/>
      <c r="J306" s="373"/>
      <c r="K306" s="374"/>
      <c r="L306" s="373"/>
      <c r="M306" s="373"/>
      <c r="N306" s="373"/>
      <c r="O306" s="373"/>
      <c r="P306" s="373"/>
      <c r="Q306" s="373"/>
      <c r="R306" s="373"/>
      <c r="S306" s="373"/>
      <c r="T306" s="373"/>
      <c r="U306" s="373"/>
      <c r="V306" s="373"/>
    </row>
    <row r="307" spans="6:22" ht="58.5" customHeight="1" x14ac:dyDescent="0.3">
      <c r="F307" s="373"/>
      <c r="G307" s="373"/>
      <c r="H307" s="373"/>
      <c r="I307" s="373"/>
      <c r="J307" s="373"/>
      <c r="K307" s="374"/>
      <c r="L307" s="373"/>
      <c r="M307" s="373"/>
      <c r="N307" s="373"/>
      <c r="O307" s="373"/>
      <c r="P307" s="373"/>
      <c r="Q307" s="373"/>
      <c r="R307" s="373"/>
      <c r="S307" s="373"/>
      <c r="T307" s="373"/>
      <c r="U307" s="373"/>
      <c r="V307" s="373"/>
    </row>
    <row r="308" spans="6:22" ht="58.5" customHeight="1" x14ac:dyDescent="0.3">
      <c r="F308" s="373"/>
      <c r="G308" s="373"/>
      <c r="H308" s="373"/>
      <c r="I308" s="373"/>
      <c r="J308" s="373"/>
      <c r="K308" s="374"/>
      <c r="L308" s="373"/>
      <c r="M308" s="373"/>
      <c r="N308" s="373"/>
      <c r="O308" s="373"/>
      <c r="P308" s="373"/>
      <c r="Q308" s="373"/>
      <c r="R308" s="373"/>
      <c r="S308" s="373"/>
      <c r="T308" s="373"/>
      <c r="U308" s="373"/>
      <c r="V308" s="373"/>
    </row>
    <row r="309" spans="6:22" ht="58.5" customHeight="1" x14ac:dyDescent="0.3">
      <c r="F309" s="373"/>
      <c r="G309" s="373"/>
      <c r="H309" s="373"/>
      <c r="I309" s="373"/>
      <c r="J309" s="373"/>
      <c r="K309" s="374"/>
      <c r="L309" s="373"/>
      <c r="M309" s="373"/>
      <c r="N309" s="373"/>
      <c r="O309" s="373"/>
      <c r="P309" s="373"/>
      <c r="Q309" s="373"/>
      <c r="R309" s="373"/>
      <c r="S309" s="373"/>
      <c r="T309" s="373"/>
      <c r="U309" s="373"/>
      <c r="V309" s="373"/>
    </row>
    <row r="310" spans="6:22" ht="58.5" customHeight="1" x14ac:dyDescent="0.3">
      <c r="F310" s="373"/>
      <c r="G310" s="373"/>
      <c r="H310" s="373"/>
      <c r="I310" s="373"/>
      <c r="J310" s="373"/>
      <c r="K310" s="374"/>
      <c r="L310" s="373"/>
      <c r="M310" s="373"/>
      <c r="N310" s="373"/>
      <c r="O310" s="373"/>
      <c r="P310" s="373"/>
      <c r="Q310" s="373"/>
      <c r="R310" s="373"/>
      <c r="S310" s="373"/>
      <c r="T310" s="373"/>
      <c r="U310" s="373"/>
      <c r="V310" s="373"/>
    </row>
    <row r="311" spans="6:22" ht="58.5" customHeight="1" x14ac:dyDescent="0.3">
      <c r="F311" s="373"/>
      <c r="G311" s="373"/>
      <c r="H311" s="373"/>
      <c r="I311" s="373"/>
      <c r="J311" s="373"/>
      <c r="K311" s="374"/>
      <c r="L311" s="373"/>
      <c r="M311" s="373"/>
      <c r="N311" s="373"/>
      <c r="O311" s="373"/>
      <c r="P311" s="373"/>
      <c r="Q311" s="373"/>
      <c r="R311" s="373"/>
      <c r="S311" s="373"/>
      <c r="T311" s="373"/>
      <c r="U311" s="373"/>
      <c r="V311" s="373"/>
    </row>
    <row r="312" spans="6:22" ht="58.5" customHeight="1" x14ac:dyDescent="0.3">
      <c r="F312" s="373"/>
      <c r="G312" s="373"/>
      <c r="H312" s="373"/>
      <c r="I312" s="373"/>
      <c r="J312" s="373"/>
      <c r="K312" s="374"/>
      <c r="L312" s="373"/>
      <c r="M312" s="373"/>
      <c r="N312" s="373"/>
      <c r="O312" s="373"/>
      <c r="P312" s="373"/>
      <c r="Q312" s="373"/>
      <c r="R312" s="373"/>
      <c r="S312" s="373"/>
      <c r="T312" s="373"/>
      <c r="U312" s="373"/>
      <c r="V312" s="373"/>
    </row>
    <row r="313" spans="6:22" ht="58.5" customHeight="1" x14ac:dyDescent="0.3">
      <c r="F313" s="373"/>
      <c r="G313" s="373"/>
      <c r="H313" s="373"/>
      <c r="I313" s="373"/>
      <c r="J313" s="373"/>
      <c r="K313" s="374"/>
      <c r="L313" s="373"/>
      <c r="M313" s="373"/>
      <c r="N313" s="373"/>
      <c r="O313" s="373"/>
      <c r="P313" s="373"/>
      <c r="Q313" s="373"/>
      <c r="R313" s="373"/>
      <c r="S313" s="373"/>
      <c r="T313" s="373"/>
      <c r="U313" s="373"/>
      <c r="V313" s="373"/>
    </row>
    <row r="314" spans="6:22" ht="58.5" customHeight="1" x14ac:dyDescent="0.3">
      <c r="F314" s="373"/>
      <c r="G314" s="373"/>
      <c r="H314" s="373"/>
      <c r="I314" s="373"/>
      <c r="J314" s="373"/>
      <c r="K314" s="374"/>
      <c r="L314" s="373"/>
      <c r="M314" s="373"/>
      <c r="N314" s="373"/>
      <c r="O314" s="373"/>
      <c r="P314" s="373"/>
      <c r="Q314" s="373"/>
      <c r="R314" s="373"/>
      <c r="S314" s="373"/>
      <c r="T314" s="373"/>
      <c r="U314" s="373"/>
      <c r="V314" s="373"/>
    </row>
    <row r="315" spans="6:22" ht="58.5" customHeight="1" x14ac:dyDescent="0.3">
      <c r="F315" s="373"/>
      <c r="G315" s="373"/>
      <c r="H315" s="373"/>
      <c r="I315" s="373"/>
      <c r="J315" s="373"/>
      <c r="K315" s="374"/>
      <c r="L315" s="373"/>
      <c r="M315" s="373"/>
      <c r="N315" s="373"/>
      <c r="O315" s="373"/>
      <c r="P315" s="373"/>
      <c r="Q315" s="373"/>
      <c r="R315" s="373"/>
      <c r="S315" s="373"/>
      <c r="T315" s="373"/>
      <c r="U315" s="373"/>
      <c r="V315" s="373"/>
    </row>
    <row r="316" spans="6:22" ht="58.5" customHeight="1" x14ac:dyDescent="0.3">
      <c r="F316" s="373"/>
      <c r="G316" s="373"/>
      <c r="H316" s="373"/>
      <c r="I316" s="373"/>
      <c r="J316" s="373"/>
      <c r="K316" s="374"/>
      <c r="L316" s="373"/>
      <c r="M316" s="373"/>
      <c r="N316" s="373"/>
      <c r="O316" s="373"/>
      <c r="P316" s="373"/>
      <c r="Q316" s="373"/>
      <c r="R316" s="373"/>
      <c r="S316" s="373"/>
      <c r="T316" s="373"/>
      <c r="U316" s="373"/>
      <c r="V316" s="373"/>
    </row>
    <row r="317" spans="6:22" ht="58.5" customHeight="1" x14ac:dyDescent="0.3">
      <c r="F317" s="373"/>
      <c r="G317" s="373"/>
      <c r="H317" s="373"/>
      <c r="I317" s="373"/>
      <c r="J317" s="373"/>
      <c r="K317" s="374"/>
      <c r="L317" s="373"/>
      <c r="M317" s="373"/>
      <c r="N317" s="373"/>
      <c r="O317" s="373"/>
      <c r="P317" s="373"/>
      <c r="Q317" s="373"/>
      <c r="R317" s="373"/>
      <c r="S317" s="373"/>
      <c r="T317" s="373"/>
      <c r="U317" s="373"/>
      <c r="V317" s="373"/>
    </row>
    <row r="318" spans="6:22" ht="58.5" customHeight="1" x14ac:dyDescent="0.3">
      <c r="F318" s="373"/>
      <c r="G318" s="373"/>
      <c r="H318" s="373"/>
      <c r="I318" s="373"/>
      <c r="J318" s="373"/>
      <c r="K318" s="374"/>
      <c r="L318" s="373"/>
      <c r="M318" s="373"/>
      <c r="N318" s="373"/>
      <c r="O318" s="373"/>
      <c r="P318" s="373"/>
      <c r="Q318" s="373"/>
      <c r="R318" s="373"/>
      <c r="S318" s="373"/>
      <c r="T318" s="373"/>
      <c r="U318" s="373"/>
      <c r="V318" s="373"/>
    </row>
    <row r="319" spans="6:22" ht="58.5" customHeight="1" x14ac:dyDescent="0.3">
      <c r="F319" s="373"/>
      <c r="G319" s="373"/>
      <c r="H319" s="373"/>
      <c r="I319" s="373"/>
      <c r="J319" s="373"/>
      <c r="K319" s="374"/>
      <c r="L319" s="373"/>
      <c r="M319" s="373"/>
      <c r="N319" s="373"/>
      <c r="O319" s="373"/>
      <c r="P319" s="373"/>
      <c r="Q319" s="373"/>
      <c r="R319" s="373"/>
      <c r="S319" s="373"/>
      <c r="T319" s="373"/>
      <c r="U319" s="373"/>
      <c r="V319" s="373"/>
    </row>
    <row r="320" spans="6:22" ht="58.5" customHeight="1" x14ac:dyDescent="0.3">
      <c r="F320" s="373"/>
      <c r="G320" s="373"/>
      <c r="H320" s="373"/>
      <c r="I320" s="373"/>
      <c r="J320" s="373"/>
      <c r="K320" s="374"/>
      <c r="L320" s="373"/>
      <c r="M320" s="373"/>
      <c r="N320" s="373"/>
      <c r="O320" s="373"/>
      <c r="P320" s="373"/>
      <c r="Q320" s="373"/>
      <c r="R320" s="373"/>
      <c r="S320" s="373"/>
      <c r="T320" s="373"/>
      <c r="U320" s="373"/>
      <c r="V320" s="373"/>
    </row>
    <row r="321" spans="6:22" ht="58.5" customHeight="1" x14ac:dyDescent="0.3">
      <c r="F321" s="373"/>
      <c r="G321" s="373"/>
      <c r="H321" s="373"/>
      <c r="I321" s="373"/>
      <c r="J321" s="373"/>
      <c r="K321" s="374"/>
      <c r="L321" s="373"/>
      <c r="M321" s="373"/>
      <c r="N321" s="373"/>
      <c r="O321" s="373"/>
      <c r="P321" s="373"/>
      <c r="Q321" s="373"/>
      <c r="R321" s="373"/>
      <c r="S321" s="373"/>
      <c r="T321" s="373"/>
      <c r="U321" s="373"/>
      <c r="V321" s="373"/>
    </row>
    <row r="322" spans="6:22" ht="58.5" customHeight="1" x14ac:dyDescent="0.3">
      <c r="F322" s="373"/>
      <c r="G322" s="373"/>
      <c r="H322" s="373"/>
      <c r="I322" s="373"/>
      <c r="J322" s="373"/>
      <c r="K322" s="374"/>
      <c r="L322" s="373"/>
      <c r="M322" s="373"/>
      <c r="N322" s="373"/>
      <c r="O322" s="373"/>
      <c r="P322" s="373"/>
      <c r="Q322" s="373"/>
      <c r="R322" s="373"/>
      <c r="S322" s="373"/>
      <c r="T322" s="373"/>
      <c r="U322" s="373"/>
      <c r="V322" s="373"/>
    </row>
    <row r="323" spans="6:22" ht="58.5" customHeight="1" x14ac:dyDescent="0.3">
      <c r="F323" s="373"/>
      <c r="G323" s="373"/>
      <c r="H323" s="373"/>
      <c r="I323" s="373"/>
      <c r="J323" s="373"/>
      <c r="K323" s="374"/>
      <c r="L323" s="373"/>
      <c r="M323" s="373"/>
      <c r="N323" s="373"/>
      <c r="O323" s="373"/>
      <c r="P323" s="373"/>
      <c r="Q323" s="373"/>
      <c r="R323" s="373"/>
      <c r="S323" s="373"/>
      <c r="T323" s="373"/>
      <c r="U323" s="373"/>
      <c r="V323" s="373"/>
    </row>
    <row r="324" spans="6:22" ht="58.5" customHeight="1" x14ac:dyDescent="0.3">
      <c r="F324" s="373"/>
      <c r="G324" s="373"/>
      <c r="H324" s="373"/>
      <c r="I324" s="373"/>
      <c r="J324" s="373"/>
      <c r="K324" s="374"/>
      <c r="L324" s="373"/>
      <c r="M324" s="373"/>
      <c r="N324" s="373"/>
      <c r="O324" s="373"/>
      <c r="P324" s="373"/>
      <c r="Q324" s="373"/>
      <c r="R324" s="373"/>
      <c r="S324" s="373"/>
      <c r="T324" s="373"/>
      <c r="U324" s="373"/>
      <c r="V324" s="373"/>
    </row>
    <row r="325" spans="6:22" ht="58.5" customHeight="1" x14ac:dyDescent="0.3">
      <c r="F325" s="373"/>
      <c r="G325" s="373"/>
      <c r="H325" s="373"/>
      <c r="I325" s="373"/>
      <c r="J325" s="373"/>
      <c r="K325" s="374"/>
      <c r="L325" s="373"/>
      <c r="M325" s="373"/>
      <c r="N325" s="373"/>
      <c r="O325" s="373"/>
      <c r="P325" s="373"/>
      <c r="Q325" s="373"/>
      <c r="R325" s="373"/>
      <c r="S325" s="373"/>
      <c r="T325" s="373"/>
      <c r="U325" s="373"/>
      <c r="V325" s="373"/>
    </row>
    <row r="326" spans="6:22" ht="58.5" customHeight="1" x14ac:dyDescent="0.3">
      <c r="F326" s="373"/>
      <c r="G326" s="373"/>
      <c r="H326" s="373"/>
      <c r="I326" s="373"/>
      <c r="J326" s="373"/>
      <c r="K326" s="374"/>
      <c r="L326" s="373"/>
      <c r="M326" s="373"/>
      <c r="N326" s="373"/>
      <c r="O326" s="373"/>
      <c r="P326" s="373"/>
      <c r="Q326" s="373"/>
      <c r="R326" s="373"/>
      <c r="S326" s="373"/>
      <c r="T326" s="373"/>
      <c r="U326" s="373"/>
      <c r="V326" s="373"/>
    </row>
    <row r="327" spans="6:22" ht="58.5" customHeight="1" x14ac:dyDescent="0.3">
      <c r="F327" s="373"/>
      <c r="G327" s="373"/>
      <c r="H327" s="373"/>
      <c r="I327" s="373"/>
      <c r="J327" s="373"/>
      <c r="K327" s="374"/>
      <c r="L327" s="373"/>
      <c r="M327" s="373"/>
      <c r="N327" s="373"/>
      <c r="O327" s="373"/>
      <c r="P327" s="373"/>
      <c r="Q327" s="373"/>
      <c r="R327" s="373"/>
      <c r="S327" s="373"/>
      <c r="T327" s="373"/>
      <c r="U327" s="373"/>
      <c r="V327" s="373"/>
    </row>
    <row r="328" spans="6:22" ht="58.5" customHeight="1" x14ac:dyDescent="0.3">
      <c r="F328" s="373"/>
      <c r="G328" s="373"/>
      <c r="H328" s="373"/>
      <c r="I328" s="373"/>
      <c r="J328" s="373"/>
      <c r="K328" s="374"/>
      <c r="L328" s="373"/>
      <c r="M328" s="373"/>
      <c r="N328" s="373"/>
      <c r="O328" s="373"/>
      <c r="P328" s="373"/>
      <c r="Q328" s="373"/>
      <c r="R328" s="373"/>
      <c r="S328" s="373"/>
      <c r="T328" s="373"/>
      <c r="U328" s="373"/>
      <c r="V328" s="373"/>
    </row>
    <row r="329" spans="6:22" ht="58.5" customHeight="1" x14ac:dyDescent="0.3">
      <c r="F329" s="373"/>
      <c r="G329" s="373"/>
      <c r="H329" s="373"/>
      <c r="I329" s="373"/>
      <c r="J329" s="373"/>
      <c r="K329" s="374"/>
      <c r="L329" s="373"/>
      <c r="M329" s="373"/>
      <c r="N329" s="373"/>
      <c r="O329" s="373"/>
      <c r="P329" s="373"/>
      <c r="Q329" s="373"/>
      <c r="R329" s="373"/>
      <c r="S329" s="373"/>
      <c r="T329" s="373"/>
      <c r="U329" s="373"/>
      <c r="V329" s="373"/>
    </row>
    <row r="330" spans="6:22" ht="58.5" customHeight="1" x14ac:dyDescent="0.3">
      <c r="F330" s="373"/>
      <c r="G330" s="373"/>
      <c r="H330" s="373"/>
      <c r="I330" s="373"/>
      <c r="J330" s="373"/>
      <c r="K330" s="374"/>
      <c r="L330" s="373"/>
      <c r="M330" s="373"/>
      <c r="N330" s="373"/>
      <c r="O330" s="373"/>
      <c r="P330" s="373"/>
      <c r="Q330" s="373"/>
      <c r="R330" s="373"/>
      <c r="S330" s="373"/>
      <c r="T330" s="373"/>
      <c r="U330" s="373"/>
      <c r="V330" s="373"/>
    </row>
    <row r="331" spans="6:22" ht="58.5" customHeight="1" x14ac:dyDescent="0.3">
      <c r="F331" s="373"/>
      <c r="G331" s="373"/>
      <c r="H331" s="373"/>
      <c r="I331" s="373"/>
      <c r="J331" s="373"/>
      <c r="K331" s="374"/>
      <c r="L331" s="373"/>
      <c r="M331" s="373"/>
      <c r="N331" s="373"/>
      <c r="O331" s="373"/>
      <c r="P331" s="373"/>
      <c r="Q331" s="373"/>
      <c r="R331" s="373"/>
      <c r="S331" s="373"/>
      <c r="T331" s="373"/>
      <c r="U331" s="373"/>
      <c r="V331" s="373"/>
    </row>
    <row r="332" spans="6:22" ht="58.5" customHeight="1" x14ac:dyDescent="0.3">
      <c r="F332" s="373"/>
      <c r="G332" s="373"/>
      <c r="H332" s="373"/>
      <c r="I332" s="373"/>
      <c r="J332" s="373"/>
      <c r="K332" s="374"/>
      <c r="L332" s="373"/>
      <c r="M332" s="373"/>
      <c r="N332" s="373"/>
      <c r="O332" s="373"/>
      <c r="P332" s="373"/>
      <c r="Q332" s="373"/>
      <c r="R332" s="373"/>
      <c r="S332" s="373"/>
      <c r="T332" s="373"/>
      <c r="U332" s="373"/>
      <c r="V332" s="373"/>
    </row>
    <row r="333" spans="6:22" ht="58.5" customHeight="1" x14ac:dyDescent="0.3">
      <c r="F333" s="373"/>
      <c r="G333" s="373"/>
      <c r="H333" s="373"/>
      <c r="I333" s="373"/>
      <c r="J333" s="373"/>
      <c r="K333" s="374"/>
      <c r="L333" s="373"/>
      <c r="M333" s="373"/>
      <c r="N333" s="373"/>
      <c r="O333" s="373"/>
      <c r="P333" s="373"/>
      <c r="Q333" s="373"/>
      <c r="R333" s="373"/>
      <c r="S333" s="373"/>
      <c r="T333" s="373"/>
      <c r="U333" s="373"/>
      <c r="V333" s="373"/>
    </row>
    <row r="334" spans="6:22" ht="58.5" customHeight="1" x14ac:dyDescent="0.3">
      <c r="F334" s="373"/>
      <c r="G334" s="373"/>
      <c r="H334" s="373"/>
      <c r="I334" s="373"/>
      <c r="J334" s="373"/>
      <c r="K334" s="374"/>
      <c r="L334" s="373"/>
      <c r="M334" s="373"/>
      <c r="N334" s="373"/>
      <c r="O334" s="373"/>
      <c r="P334" s="373"/>
      <c r="Q334" s="373"/>
      <c r="R334" s="373"/>
      <c r="S334" s="373"/>
      <c r="T334" s="373"/>
      <c r="U334" s="373"/>
      <c r="V334" s="373"/>
    </row>
    <row r="335" spans="6:22" ht="58.5" customHeight="1" x14ac:dyDescent="0.3">
      <c r="F335" s="373"/>
      <c r="G335" s="373"/>
      <c r="H335" s="373"/>
      <c r="I335" s="373"/>
      <c r="J335" s="373"/>
      <c r="K335" s="374"/>
      <c r="L335" s="373"/>
      <c r="M335" s="373"/>
      <c r="N335" s="373"/>
      <c r="O335" s="373"/>
      <c r="P335" s="373"/>
      <c r="Q335" s="373"/>
      <c r="R335" s="373"/>
      <c r="S335" s="373"/>
      <c r="T335" s="373"/>
      <c r="U335" s="373"/>
      <c r="V335" s="373"/>
    </row>
    <row r="336" spans="6:22" ht="58.5" customHeight="1" x14ac:dyDescent="0.3">
      <c r="F336" s="373"/>
      <c r="G336" s="373"/>
      <c r="H336" s="373"/>
      <c r="I336" s="373"/>
      <c r="J336" s="373"/>
      <c r="K336" s="374"/>
      <c r="L336" s="373"/>
      <c r="M336" s="373"/>
      <c r="N336" s="373"/>
      <c r="O336" s="373"/>
      <c r="P336" s="373"/>
      <c r="Q336" s="373"/>
      <c r="R336" s="373"/>
      <c r="S336" s="373"/>
      <c r="T336" s="373"/>
      <c r="U336" s="373"/>
      <c r="V336" s="373"/>
    </row>
    <row r="337" spans="6:22" ht="58.5" customHeight="1" x14ac:dyDescent="0.3">
      <c r="F337" s="373"/>
      <c r="G337" s="373"/>
      <c r="H337" s="373"/>
      <c r="I337" s="373"/>
      <c r="J337" s="373"/>
      <c r="K337" s="374"/>
      <c r="L337" s="373"/>
      <c r="M337" s="373"/>
      <c r="N337" s="373"/>
      <c r="O337" s="373"/>
      <c r="P337" s="373"/>
      <c r="Q337" s="373"/>
      <c r="R337" s="373"/>
      <c r="S337" s="373"/>
      <c r="T337" s="373"/>
      <c r="U337" s="373"/>
      <c r="V337" s="373"/>
    </row>
    <row r="338" spans="6:22" ht="58.5" customHeight="1" x14ac:dyDescent="0.3">
      <c r="F338" s="373"/>
      <c r="G338" s="373"/>
      <c r="H338" s="373"/>
      <c r="I338" s="373"/>
      <c r="J338" s="373"/>
      <c r="K338" s="374"/>
      <c r="L338" s="373"/>
      <c r="M338" s="373"/>
      <c r="N338" s="373"/>
      <c r="O338" s="373"/>
      <c r="P338" s="373"/>
      <c r="Q338" s="373"/>
      <c r="R338" s="373"/>
      <c r="S338" s="373"/>
      <c r="T338" s="373"/>
      <c r="U338" s="373"/>
      <c r="V338" s="373"/>
    </row>
    <row r="339" spans="6:22" ht="58.5" customHeight="1" x14ac:dyDescent="0.3">
      <c r="F339" s="373"/>
      <c r="G339" s="373"/>
      <c r="H339" s="373"/>
      <c r="I339" s="373"/>
      <c r="J339" s="373"/>
      <c r="K339" s="374"/>
      <c r="L339" s="373"/>
      <c r="M339" s="373"/>
      <c r="N339" s="373"/>
      <c r="O339" s="373"/>
      <c r="P339" s="373"/>
      <c r="Q339" s="373"/>
      <c r="R339" s="373"/>
      <c r="S339" s="373"/>
      <c r="T339" s="373"/>
      <c r="U339" s="373"/>
      <c r="V339" s="373"/>
    </row>
    <row r="340" spans="6:22" ht="58.5" customHeight="1" x14ac:dyDescent="0.3">
      <c r="F340" s="373"/>
      <c r="G340" s="373"/>
      <c r="H340" s="373"/>
      <c r="I340" s="373"/>
      <c r="J340" s="373"/>
      <c r="K340" s="374"/>
      <c r="L340" s="373"/>
      <c r="M340" s="373"/>
      <c r="N340" s="373"/>
      <c r="O340" s="373"/>
      <c r="P340" s="373"/>
      <c r="Q340" s="373"/>
      <c r="R340" s="373"/>
      <c r="S340" s="373"/>
      <c r="T340" s="373"/>
      <c r="U340" s="373"/>
      <c r="V340" s="373"/>
    </row>
    <row r="341" spans="6:22" ht="58.5" customHeight="1" x14ac:dyDescent="0.3">
      <c r="F341" s="373"/>
      <c r="G341" s="373"/>
      <c r="H341" s="373"/>
      <c r="I341" s="373"/>
      <c r="J341" s="373"/>
      <c r="K341" s="374"/>
      <c r="L341" s="373"/>
      <c r="M341" s="373"/>
      <c r="N341" s="373"/>
      <c r="O341" s="373"/>
      <c r="P341" s="373"/>
      <c r="Q341" s="373"/>
      <c r="R341" s="373"/>
      <c r="S341" s="373"/>
      <c r="T341" s="373"/>
      <c r="U341" s="373"/>
      <c r="V341" s="373"/>
    </row>
    <row r="342" spans="6:22" ht="58.5" customHeight="1" x14ac:dyDescent="0.3">
      <c r="F342" s="373"/>
      <c r="G342" s="373"/>
      <c r="H342" s="373"/>
      <c r="I342" s="373"/>
      <c r="J342" s="373"/>
      <c r="K342" s="374"/>
      <c r="L342" s="373"/>
      <c r="M342" s="373"/>
      <c r="N342" s="373"/>
      <c r="O342" s="373"/>
      <c r="P342" s="373"/>
      <c r="Q342" s="373"/>
      <c r="R342" s="373"/>
      <c r="S342" s="373"/>
      <c r="T342" s="373"/>
      <c r="U342" s="373"/>
      <c r="V342" s="373"/>
    </row>
    <row r="343" spans="6:22" ht="58.5" customHeight="1" x14ac:dyDescent="0.3">
      <c r="F343" s="373"/>
      <c r="G343" s="373"/>
      <c r="H343" s="373"/>
      <c r="I343" s="373"/>
      <c r="J343" s="373"/>
      <c r="K343" s="374"/>
      <c r="L343" s="373"/>
      <c r="M343" s="373"/>
      <c r="N343" s="373"/>
      <c r="O343" s="373"/>
      <c r="P343" s="373"/>
      <c r="Q343" s="373"/>
      <c r="R343" s="373"/>
      <c r="S343" s="373"/>
      <c r="T343" s="373"/>
      <c r="U343" s="373"/>
      <c r="V343" s="373"/>
    </row>
    <row r="344" spans="6:22" ht="58.5" customHeight="1" x14ac:dyDescent="0.3">
      <c r="F344" s="373"/>
      <c r="G344" s="373"/>
      <c r="H344" s="373"/>
      <c r="I344" s="373"/>
      <c r="J344" s="373"/>
      <c r="K344" s="374"/>
      <c r="L344" s="373"/>
      <c r="M344" s="373"/>
      <c r="N344" s="373"/>
      <c r="O344" s="373"/>
      <c r="P344" s="373"/>
      <c r="Q344" s="373"/>
      <c r="R344" s="373"/>
      <c r="S344" s="373"/>
      <c r="T344" s="373"/>
      <c r="U344" s="373"/>
      <c r="V344" s="373"/>
    </row>
    <row r="345" spans="6:22" ht="58.5" customHeight="1" x14ac:dyDescent="0.3">
      <c r="F345" s="373"/>
      <c r="G345" s="373"/>
      <c r="H345" s="373"/>
      <c r="I345" s="373"/>
      <c r="J345" s="373"/>
      <c r="K345" s="374"/>
      <c r="L345" s="373"/>
      <c r="M345" s="373"/>
      <c r="N345" s="373"/>
      <c r="O345" s="373"/>
      <c r="P345" s="373"/>
      <c r="Q345" s="373"/>
      <c r="R345" s="373"/>
      <c r="S345" s="373"/>
      <c r="T345" s="373"/>
      <c r="U345" s="373"/>
      <c r="V345" s="373"/>
    </row>
    <row r="346" spans="6:22" ht="58.5" customHeight="1" x14ac:dyDescent="0.3">
      <c r="F346" s="373"/>
      <c r="G346" s="373"/>
      <c r="H346" s="373"/>
      <c r="I346" s="373"/>
      <c r="J346" s="373"/>
      <c r="K346" s="374"/>
      <c r="L346" s="373"/>
      <c r="M346" s="373"/>
      <c r="N346" s="373"/>
      <c r="O346" s="373"/>
      <c r="P346" s="373"/>
      <c r="Q346" s="373"/>
      <c r="R346" s="373"/>
      <c r="S346" s="373"/>
      <c r="T346" s="373"/>
      <c r="U346" s="373"/>
      <c r="V346" s="373"/>
    </row>
    <row r="347" spans="6:22" ht="58.5" customHeight="1" x14ac:dyDescent="0.3">
      <c r="F347" s="373"/>
      <c r="G347" s="373"/>
      <c r="H347" s="373"/>
      <c r="I347" s="373"/>
      <c r="J347" s="373"/>
      <c r="K347" s="374"/>
      <c r="L347" s="373"/>
      <c r="M347" s="373"/>
      <c r="N347" s="373"/>
      <c r="O347" s="373"/>
      <c r="P347" s="373"/>
      <c r="Q347" s="373"/>
      <c r="R347" s="373"/>
      <c r="S347" s="373"/>
      <c r="T347" s="373"/>
      <c r="U347" s="373"/>
      <c r="V347" s="373"/>
    </row>
    <row r="348" spans="6:22" ht="58.5" customHeight="1" x14ac:dyDescent="0.3">
      <c r="F348" s="373"/>
      <c r="G348" s="373"/>
      <c r="H348" s="373"/>
      <c r="I348" s="373"/>
      <c r="J348" s="373"/>
      <c r="K348" s="374"/>
      <c r="L348" s="373"/>
      <c r="M348" s="373"/>
      <c r="N348" s="373"/>
      <c r="O348" s="373"/>
      <c r="P348" s="373"/>
      <c r="Q348" s="373"/>
      <c r="R348" s="373"/>
      <c r="S348" s="373"/>
      <c r="T348" s="373"/>
      <c r="U348" s="373"/>
      <c r="V348" s="373"/>
    </row>
    <row r="349" spans="6:22" ht="58.5" customHeight="1" x14ac:dyDescent="0.3">
      <c r="F349" s="373"/>
      <c r="G349" s="373"/>
      <c r="H349" s="373"/>
      <c r="I349" s="373"/>
      <c r="J349" s="373"/>
      <c r="K349" s="374"/>
      <c r="L349" s="373"/>
      <c r="M349" s="373"/>
      <c r="N349" s="373"/>
      <c r="O349" s="373"/>
      <c r="P349" s="373"/>
      <c r="Q349" s="373"/>
      <c r="R349" s="373"/>
      <c r="S349" s="373"/>
      <c r="T349" s="373"/>
      <c r="U349" s="373"/>
      <c r="V349" s="373"/>
    </row>
    <row r="350" spans="6:22" ht="58.5" customHeight="1" x14ac:dyDescent="0.3">
      <c r="F350" s="373"/>
      <c r="G350" s="373"/>
      <c r="H350" s="373"/>
      <c r="I350" s="373"/>
      <c r="J350" s="373"/>
      <c r="K350" s="374"/>
      <c r="L350" s="373"/>
      <c r="M350" s="373"/>
      <c r="N350" s="373"/>
      <c r="O350" s="373"/>
      <c r="P350" s="373"/>
      <c r="Q350" s="373"/>
      <c r="R350" s="373"/>
      <c r="S350" s="373"/>
      <c r="T350" s="373"/>
      <c r="U350" s="373"/>
      <c r="V350" s="373"/>
    </row>
    <row r="351" spans="6:22" ht="58.5" customHeight="1" x14ac:dyDescent="0.3">
      <c r="F351" s="373"/>
      <c r="G351" s="373"/>
      <c r="H351" s="373"/>
      <c r="I351" s="373"/>
      <c r="J351" s="373"/>
      <c r="K351" s="374"/>
      <c r="L351" s="373"/>
      <c r="M351" s="373"/>
      <c r="N351" s="373"/>
      <c r="O351" s="373"/>
      <c r="P351" s="373"/>
      <c r="Q351" s="373"/>
      <c r="R351" s="373"/>
      <c r="S351" s="373"/>
      <c r="T351" s="373"/>
      <c r="U351" s="373"/>
      <c r="V351" s="373"/>
    </row>
    <row r="352" spans="6:22" ht="58.5" customHeight="1" x14ac:dyDescent="0.3">
      <c r="F352" s="373"/>
      <c r="G352" s="373"/>
      <c r="H352" s="373"/>
      <c r="I352" s="373"/>
      <c r="J352" s="373"/>
      <c r="K352" s="374"/>
      <c r="L352" s="373"/>
      <c r="M352" s="373"/>
      <c r="N352" s="373"/>
      <c r="O352" s="373"/>
      <c r="P352" s="373"/>
      <c r="Q352" s="373"/>
      <c r="R352" s="373"/>
      <c r="S352" s="373"/>
      <c r="T352" s="373"/>
      <c r="U352" s="373"/>
      <c r="V352" s="373"/>
    </row>
    <row r="353" spans="6:22" ht="58.5" customHeight="1" x14ac:dyDescent="0.3">
      <c r="F353" s="373"/>
      <c r="G353" s="373"/>
      <c r="H353" s="373"/>
      <c r="I353" s="373"/>
      <c r="J353" s="373"/>
      <c r="K353" s="374"/>
      <c r="L353" s="373"/>
      <c r="M353" s="373"/>
      <c r="N353" s="373"/>
      <c r="O353" s="373"/>
      <c r="P353" s="373"/>
      <c r="Q353" s="373"/>
      <c r="R353" s="373"/>
      <c r="S353" s="373"/>
      <c r="T353" s="373"/>
      <c r="U353" s="373"/>
      <c r="V353" s="373"/>
    </row>
    <row r="354" spans="6:22" ht="58.5" customHeight="1" x14ac:dyDescent="0.3">
      <c r="F354" s="373"/>
      <c r="G354" s="373"/>
      <c r="H354" s="373"/>
      <c r="I354" s="373"/>
      <c r="J354" s="373"/>
      <c r="K354" s="374"/>
      <c r="L354" s="373"/>
      <c r="M354" s="373"/>
      <c r="N354" s="373"/>
      <c r="O354" s="373"/>
      <c r="P354" s="373"/>
      <c r="Q354" s="373"/>
      <c r="R354" s="373"/>
      <c r="S354" s="373"/>
      <c r="T354" s="373"/>
      <c r="U354" s="373"/>
      <c r="V354" s="373"/>
    </row>
    <row r="355" spans="6:22" ht="58.5" customHeight="1" x14ac:dyDescent="0.3">
      <c r="F355" s="373"/>
      <c r="G355" s="373"/>
      <c r="H355" s="373"/>
      <c r="I355" s="373"/>
      <c r="J355" s="373"/>
      <c r="K355" s="374"/>
      <c r="L355" s="373"/>
      <c r="M355" s="373"/>
      <c r="N355" s="373"/>
      <c r="O355" s="373"/>
      <c r="P355" s="373"/>
      <c r="Q355" s="373"/>
      <c r="R355" s="373"/>
      <c r="S355" s="373"/>
      <c r="T355" s="373"/>
      <c r="U355" s="373"/>
      <c r="V355" s="373"/>
    </row>
    <row r="356" spans="6:22" ht="58.5" customHeight="1" x14ac:dyDescent="0.3">
      <c r="F356" s="373"/>
      <c r="G356" s="373"/>
      <c r="H356" s="373"/>
      <c r="I356" s="373"/>
      <c r="J356" s="373"/>
      <c r="K356" s="374"/>
      <c r="L356" s="373"/>
      <c r="M356" s="373"/>
      <c r="N356" s="373"/>
      <c r="O356" s="373"/>
      <c r="P356" s="373"/>
      <c r="Q356" s="373"/>
      <c r="R356" s="373"/>
      <c r="S356" s="373"/>
      <c r="T356" s="373"/>
      <c r="U356" s="373"/>
      <c r="V356" s="373"/>
    </row>
    <row r="357" spans="6:22" ht="58.5" customHeight="1" x14ac:dyDescent="0.3">
      <c r="F357" s="373"/>
      <c r="G357" s="373"/>
      <c r="H357" s="373"/>
      <c r="I357" s="373"/>
      <c r="J357" s="373"/>
      <c r="K357" s="374"/>
      <c r="L357" s="373"/>
      <c r="M357" s="373"/>
      <c r="N357" s="373"/>
      <c r="O357" s="373"/>
      <c r="P357" s="373"/>
      <c r="Q357" s="373"/>
      <c r="R357" s="373"/>
      <c r="S357" s="373"/>
      <c r="T357" s="373"/>
      <c r="U357" s="373"/>
      <c r="V357" s="373"/>
    </row>
    <row r="358" spans="6:22" ht="58.5" customHeight="1" x14ac:dyDescent="0.3">
      <c r="F358" s="373"/>
      <c r="G358" s="373"/>
      <c r="H358" s="373"/>
      <c r="I358" s="373"/>
      <c r="J358" s="373"/>
      <c r="K358" s="374"/>
      <c r="L358" s="373"/>
      <c r="M358" s="373"/>
      <c r="N358" s="373"/>
      <c r="O358" s="373"/>
      <c r="P358" s="373"/>
      <c r="Q358" s="373"/>
      <c r="R358" s="373"/>
      <c r="S358" s="373"/>
      <c r="T358" s="373"/>
      <c r="U358" s="373"/>
      <c r="V358" s="373"/>
    </row>
    <row r="359" spans="6:22" ht="58.5" customHeight="1" x14ac:dyDescent="0.3">
      <c r="F359" s="373"/>
      <c r="G359" s="373"/>
      <c r="H359" s="373"/>
      <c r="I359" s="373"/>
      <c r="J359" s="373"/>
      <c r="K359" s="374"/>
      <c r="L359" s="373"/>
      <c r="M359" s="373"/>
      <c r="N359" s="373"/>
      <c r="O359" s="373"/>
      <c r="P359" s="373"/>
      <c r="Q359" s="373"/>
      <c r="R359" s="373"/>
      <c r="S359" s="373"/>
      <c r="T359" s="373"/>
      <c r="U359" s="373"/>
      <c r="V359" s="373"/>
    </row>
    <row r="360" spans="6:22" ht="58.5" customHeight="1" x14ac:dyDescent="0.3">
      <c r="F360" s="373"/>
      <c r="G360" s="373"/>
      <c r="H360" s="373"/>
      <c r="I360" s="373"/>
      <c r="J360" s="373"/>
      <c r="K360" s="374"/>
      <c r="L360" s="373"/>
      <c r="M360" s="373"/>
      <c r="N360" s="373"/>
      <c r="O360" s="373"/>
      <c r="P360" s="373"/>
      <c r="Q360" s="373"/>
      <c r="R360" s="373"/>
      <c r="S360" s="373"/>
      <c r="T360" s="373"/>
      <c r="U360" s="373"/>
      <c r="V360" s="373"/>
    </row>
    <row r="361" spans="6:22" ht="58.5" customHeight="1" x14ac:dyDescent="0.3">
      <c r="F361" s="373"/>
      <c r="G361" s="373"/>
      <c r="H361" s="373"/>
      <c r="I361" s="373"/>
      <c r="J361" s="373"/>
      <c r="K361" s="374"/>
      <c r="L361" s="373"/>
      <c r="M361" s="373"/>
      <c r="N361" s="373"/>
      <c r="O361" s="373"/>
      <c r="P361" s="373"/>
      <c r="Q361" s="373"/>
      <c r="R361" s="373"/>
      <c r="S361" s="373"/>
      <c r="T361" s="373"/>
      <c r="U361" s="373"/>
      <c r="V361" s="373"/>
    </row>
    <row r="362" spans="6:22" ht="58.5" customHeight="1" x14ac:dyDescent="0.3">
      <c r="F362" s="373"/>
      <c r="G362" s="373"/>
      <c r="H362" s="373"/>
      <c r="I362" s="373"/>
      <c r="J362" s="373"/>
      <c r="K362" s="374"/>
      <c r="L362" s="373"/>
      <c r="M362" s="373"/>
      <c r="N362" s="373"/>
      <c r="O362" s="373"/>
      <c r="P362" s="373"/>
      <c r="Q362" s="373"/>
      <c r="R362" s="373"/>
      <c r="S362" s="373"/>
      <c r="T362" s="373"/>
      <c r="U362" s="373"/>
      <c r="V362" s="373"/>
    </row>
    <row r="363" spans="6:22" ht="58.5" customHeight="1" x14ac:dyDescent="0.3">
      <c r="F363" s="373"/>
      <c r="G363" s="373"/>
      <c r="H363" s="373"/>
      <c r="I363" s="373"/>
      <c r="J363" s="373"/>
      <c r="K363" s="374"/>
      <c r="L363" s="373"/>
      <c r="M363" s="373"/>
      <c r="N363" s="373"/>
      <c r="O363" s="373"/>
      <c r="P363" s="373"/>
      <c r="Q363" s="373"/>
      <c r="R363" s="373"/>
      <c r="S363" s="373"/>
      <c r="T363" s="373"/>
      <c r="U363" s="373"/>
      <c r="V363" s="373"/>
    </row>
    <row r="364" spans="6:22" ht="58.5" customHeight="1" x14ac:dyDescent="0.3">
      <c r="F364" s="373"/>
      <c r="G364" s="373"/>
      <c r="H364" s="373"/>
      <c r="I364" s="373"/>
      <c r="J364" s="373"/>
      <c r="K364" s="374"/>
      <c r="L364" s="373"/>
      <c r="M364" s="373"/>
      <c r="N364" s="373"/>
      <c r="O364" s="373"/>
      <c r="P364" s="373"/>
      <c r="Q364" s="373"/>
      <c r="R364" s="373"/>
      <c r="S364" s="373"/>
      <c r="T364" s="373"/>
      <c r="U364" s="373"/>
      <c r="V364" s="373"/>
    </row>
    <row r="365" spans="6:22" ht="58.5" customHeight="1" x14ac:dyDescent="0.3">
      <c r="F365" s="373"/>
      <c r="G365" s="373"/>
      <c r="H365" s="373"/>
      <c r="I365" s="373"/>
      <c r="J365" s="373"/>
      <c r="K365" s="374"/>
      <c r="L365" s="373"/>
      <c r="M365" s="373"/>
      <c r="N365" s="373"/>
      <c r="O365" s="373"/>
      <c r="P365" s="373"/>
      <c r="Q365" s="373"/>
      <c r="R365" s="373"/>
      <c r="S365" s="373"/>
      <c r="T365" s="373"/>
      <c r="U365" s="373"/>
      <c r="V365" s="373"/>
    </row>
    <row r="366" spans="6:22" ht="58.5" customHeight="1" x14ac:dyDescent="0.3">
      <c r="F366" s="373"/>
      <c r="G366" s="373"/>
      <c r="H366" s="373"/>
      <c r="I366" s="373"/>
      <c r="J366" s="373"/>
      <c r="K366" s="374"/>
      <c r="L366" s="373"/>
      <c r="M366" s="373"/>
      <c r="N366" s="373"/>
      <c r="O366" s="373"/>
      <c r="P366" s="373"/>
      <c r="Q366" s="373"/>
      <c r="R366" s="373"/>
      <c r="S366" s="373"/>
      <c r="T366" s="373"/>
      <c r="U366" s="373"/>
      <c r="V366" s="373"/>
    </row>
    <row r="367" spans="6:22" ht="58.5" customHeight="1" x14ac:dyDescent="0.3">
      <c r="F367" s="373"/>
      <c r="G367" s="373"/>
      <c r="H367" s="373"/>
      <c r="I367" s="373"/>
      <c r="J367" s="373"/>
      <c r="K367" s="374"/>
      <c r="L367" s="373"/>
      <c r="M367" s="373"/>
      <c r="N367" s="373"/>
      <c r="O367" s="373"/>
      <c r="P367" s="373"/>
      <c r="Q367" s="373"/>
      <c r="R367" s="373"/>
      <c r="S367" s="373"/>
      <c r="T367" s="373"/>
      <c r="U367" s="373"/>
      <c r="V367" s="373"/>
    </row>
    <row r="368" spans="6:22" ht="58.5" customHeight="1" x14ac:dyDescent="0.3">
      <c r="F368" s="373"/>
      <c r="G368" s="373"/>
      <c r="H368" s="373"/>
      <c r="I368" s="373"/>
      <c r="J368" s="373"/>
      <c r="K368" s="374"/>
      <c r="L368" s="373"/>
      <c r="M368" s="373"/>
      <c r="N368" s="373"/>
      <c r="O368" s="373"/>
      <c r="P368" s="373"/>
      <c r="Q368" s="373"/>
      <c r="R368" s="373"/>
      <c r="S368" s="373"/>
      <c r="T368" s="373"/>
      <c r="U368" s="373"/>
      <c r="V368" s="373"/>
    </row>
    <row r="369" spans="6:22" ht="58.5" customHeight="1" x14ac:dyDescent="0.3">
      <c r="F369" s="373"/>
      <c r="G369" s="373"/>
      <c r="H369" s="373"/>
      <c r="I369" s="373"/>
      <c r="J369" s="373"/>
      <c r="K369" s="374"/>
      <c r="L369" s="373"/>
      <c r="M369" s="373"/>
      <c r="N369" s="373"/>
      <c r="O369" s="373"/>
      <c r="P369" s="373"/>
      <c r="Q369" s="373"/>
      <c r="R369" s="373"/>
      <c r="S369" s="373"/>
      <c r="T369" s="373"/>
      <c r="U369" s="373"/>
      <c r="V369" s="373"/>
    </row>
    <row r="370" spans="6:22" ht="58.5" customHeight="1" x14ac:dyDescent="0.3">
      <c r="F370" s="373"/>
      <c r="G370" s="373"/>
      <c r="H370" s="373"/>
      <c r="I370" s="373"/>
      <c r="J370" s="373"/>
      <c r="K370" s="374"/>
      <c r="L370" s="373"/>
      <c r="M370" s="373"/>
      <c r="N370" s="373"/>
      <c r="O370" s="373"/>
      <c r="P370" s="373"/>
      <c r="Q370" s="373"/>
      <c r="R370" s="373"/>
      <c r="S370" s="373"/>
      <c r="T370" s="373"/>
      <c r="U370" s="373"/>
      <c r="V370" s="373"/>
    </row>
    <row r="371" spans="6:22" ht="58.5" customHeight="1" x14ac:dyDescent="0.3">
      <c r="F371" s="373"/>
      <c r="G371" s="373"/>
      <c r="H371" s="373"/>
      <c r="I371" s="373"/>
      <c r="J371" s="373"/>
      <c r="K371" s="374"/>
      <c r="L371" s="373"/>
      <c r="M371" s="373"/>
      <c r="N371" s="373"/>
      <c r="O371" s="373"/>
      <c r="P371" s="373"/>
      <c r="Q371" s="373"/>
      <c r="R371" s="373"/>
      <c r="S371" s="373"/>
      <c r="T371" s="373"/>
      <c r="U371" s="373"/>
      <c r="V371" s="373"/>
    </row>
    <row r="372" spans="6:22" ht="58.5" customHeight="1" x14ac:dyDescent="0.3">
      <c r="F372" s="373"/>
      <c r="G372" s="373"/>
      <c r="H372" s="373"/>
      <c r="I372" s="373"/>
      <c r="J372" s="373"/>
      <c r="K372" s="374"/>
      <c r="L372" s="373"/>
      <c r="M372" s="373"/>
      <c r="N372" s="373"/>
      <c r="O372" s="373"/>
      <c r="P372" s="373"/>
      <c r="Q372" s="373"/>
      <c r="R372" s="373"/>
      <c r="S372" s="373"/>
      <c r="T372" s="373"/>
      <c r="U372" s="373"/>
      <c r="V372" s="373"/>
    </row>
    <row r="373" spans="6:22" ht="58.5" customHeight="1" x14ac:dyDescent="0.3">
      <c r="F373" s="373"/>
      <c r="G373" s="373"/>
      <c r="H373" s="373"/>
      <c r="I373" s="373"/>
      <c r="J373" s="373"/>
      <c r="K373" s="374"/>
      <c r="L373" s="373"/>
      <c r="M373" s="373"/>
      <c r="N373" s="373"/>
      <c r="O373" s="373"/>
      <c r="P373" s="373"/>
      <c r="Q373" s="373"/>
      <c r="R373" s="373"/>
      <c r="S373" s="373"/>
      <c r="T373" s="373"/>
      <c r="U373" s="373"/>
      <c r="V373" s="373"/>
    </row>
    <row r="374" spans="6:22" ht="58.5" customHeight="1" x14ac:dyDescent="0.3">
      <c r="F374" s="373"/>
      <c r="G374" s="373"/>
      <c r="H374" s="373"/>
      <c r="I374" s="373"/>
      <c r="J374" s="373"/>
      <c r="K374" s="374"/>
      <c r="L374" s="373"/>
      <c r="M374" s="373"/>
      <c r="N374" s="373"/>
      <c r="O374" s="373"/>
      <c r="P374" s="373"/>
      <c r="Q374" s="373"/>
      <c r="R374" s="373"/>
      <c r="S374" s="373"/>
      <c r="T374" s="373"/>
      <c r="U374" s="373"/>
      <c r="V374" s="373"/>
    </row>
    <row r="375" spans="6:22" ht="58.5" customHeight="1" x14ac:dyDescent="0.3">
      <c r="F375" s="373"/>
      <c r="G375" s="373"/>
      <c r="H375" s="373"/>
      <c r="I375" s="373"/>
      <c r="J375" s="373"/>
      <c r="K375" s="374"/>
      <c r="L375" s="373"/>
      <c r="M375" s="373"/>
      <c r="N375" s="373"/>
      <c r="O375" s="373"/>
      <c r="P375" s="373"/>
      <c r="Q375" s="373"/>
      <c r="R375" s="373"/>
      <c r="S375" s="373"/>
      <c r="T375" s="373"/>
      <c r="U375" s="373"/>
      <c r="V375" s="373"/>
    </row>
    <row r="376" spans="6:22" ht="58.5" customHeight="1" x14ac:dyDescent="0.3">
      <c r="F376" s="373"/>
      <c r="G376" s="373"/>
      <c r="H376" s="373"/>
      <c r="I376" s="373"/>
      <c r="J376" s="373"/>
      <c r="K376" s="374"/>
      <c r="L376" s="373"/>
      <c r="M376" s="373"/>
      <c r="N376" s="373"/>
      <c r="O376" s="373"/>
      <c r="P376" s="373"/>
      <c r="Q376" s="373"/>
      <c r="R376" s="373"/>
      <c r="S376" s="373"/>
      <c r="T376" s="373"/>
      <c r="U376" s="373"/>
      <c r="V376" s="373"/>
    </row>
    <row r="377" spans="6:22" ht="58.5" customHeight="1" x14ac:dyDescent="0.3">
      <c r="F377" s="373"/>
      <c r="G377" s="373"/>
      <c r="H377" s="373"/>
      <c r="I377" s="373"/>
      <c r="J377" s="373"/>
      <c r="K377" s="374"/>
      <c r="L377" s="373"/>
      <c r="M377" s="373"/>
      <c r="N377" s="373"/>
      <c r="O377" s="373"/>
      <c r="P377" s="373"/>
      <c r="Q377" s="373"/>
      <c r="R377" s="373"/>
      <c r="S377" s="373"/>
      <c r="T377" s="373"/>
      <c r="U377" s="373"/>
      <c r="V377" s="373"/>
    </row>
    <row r="378" spans="6:22" ht="58.5" customHeight="1" x14ac:dyDescent="0.3">
      <c r="F378" s="373"/>
      <c r="G378" s="373"/>
      <c r="H378" s="373"/>
      <c r="I378" s="373"/>
      <c r="J378" s="373"/>
      <c r="K378" s="374"/>
      <c r="L378" s="373"/>
      <c r="M378" s="373"/>
      <c r="N378" s="373"/>
      <c r="O378" s="373"/>
      <c r="P378" s="373"/>
      <c r="Q378" s="373"/>
      <c r="R378" s="373"/>
      <c r="S378" s="373"/>
      <c r="T378" s="373"/>
      <c r="U378" s="373"/>
      <c r="V378" s="373"/>
    </row>
    <row r="379" spans="6:22" ht="58.5" customHeight="1" x14ac:dyDescent="0.3">
      <c r="F379" s="373"/>
      <c r="G379" s="373"/>
      <c r="H379" s="373"/>
      <c r="I379" s="373"/>
      <c r="J379" s="373"/>
      <c r="K379" s="374"/>
      <c r="L379" s="373"/>
      <c r="M379" s="373"/>
      <c r="N379" s="373"/>
      <c r="O379" s="373"/>
      <c r="P379" s="373"/>
      <c r="Q379" s="373"/>
      <c r="R379" s="373"/>
      <c r="S379" s="373"/>
      <c r="T379" s="373"/>
      <c r="U379" s="373"/>
      <c r="V379" s="373"/>
    </row>
    <row r="380" spans="6:22" ht="58.5" customHeight="1" x14ac:dyDescent="0.3">
      <c r="F380" s="373"/>
      <c r="G380" s="373"/>
      <c r="H380" s="373"/>
      <c r="I380" s="373"/>
      <c r="J380" s="373"/>
      <c r="K380" s="374"/>
      <c r="L380" s="373"/>
      <c r="M380" s="373"/>
      <c r="N380" s="373"/>
      <c r="O380" s="373"/>
      <c r="P380" s="373"/>
      <c r="Q380" s="373"/>
      <c r="R380" s="373"/>
      <c r="S380" s="373"/>
      <c r="T380" s="373"/>
      <c r="U380" s="373"/>
      <c r="V380" s="373"/>
    </row>
    <row r="381" spans="6:22" ht="58.5" customHeight="1" x14ac:dyDescent="0.3">
      <c r="F381" s="373"/>
      <c r="G381" s="373"/>
      <c r="H381" s="373"/>
      <c r="I381" s="373"/>
      <c r="J381" s="373"/>
      <c r="K381" s="374"/>
      <c r="L381" s="373"/>
      <c r="M381" s="373"/>
      <c r="N381" s="373"/>
      <c r="O381" s="373"/>
      <c r="P381" s="373"/>
      <c r="Q381" s="373"/>
      <c r="R381" s="373"/>
      <c r="S381" s="373"/>
      <c r="T381" s="373"/>
      <c r="U381" s="373"/>
      <c r="V381" s="373"/>
    </row>
    <row r="382" spans="6:22" ht="58.5" customHeight="1" x14ac:dyDescent="0.3">
      <c r="F382" s="373"/>
      <c r="G382" s="373"/>
      <c r="H382" s="373"/>
      <c r="I382" s="373"/>
      <c r="J382" s="373"/>
      <c r="K382" s="374"/>
      <c r="L382" s="373"/>
      <c r="M382" s="373"/>
      <c r="N382" s="373"/>
      <c r="O382" s="373"/>
      <c r="P382" s="373"/>
      <c r="Q382" s="373"/>
      <c r="R382" s="373"/>
      <c r="S382" s="373"/>
      <c r="T382" s="373"/>
      <c r="U382" s="373"/>
      <c r="V382" s="373"/>
    </row>
    <row r="383" spans="6:22" ht="58.5" customHeight="1" x14ac:dyDescent="0.3">
      <c r="F383" s="373"/>
      <c r="G383" s="373"/>
      <c r="H383" s="373"/>
      <c r="I383" s="373"/>
      <c r="J383" s="373"/>
      <c r="K383" s="374"/>
      <c r="L383" s="373"/>
      <c r="M383" s="373"/>
      <c r="N383" s="373"/>
      <c r="O383" s="373"/>
      <c r="P383" s="373"/>
      <c r="Q383" s="373"/>
      <c r="R383" s="373"/>
      <c r="S383" s="373"/>
      <c r="T383" s="373"/>
      <c r="U383" s="373"/>
      <c r="V383" s="373"/>
    </row>
    <row r="384" spans="6:22" ht="58.5" customHeight="1" x14ac:dyDescent="0.3">
      <c r="F384" s="373"/>
      <c r="G384" s="373"/>
      <c r="H384" s="373"/>
      <c r="I384" s="373"/>
      <c r="J384" s="373"/>
      <c r="K384" s="374"/>
      <c r="L384" s="373"/>
      <c r="M384" s="373"/>
      <c r="N384" s="373"/>
      <c r="O384" s="373"/>
      <c r="P384" s="373"/>
      <c r="Q384" s="373"/>
      <c r="R384" s="373"/>
      <c r="S384" s="373"/>
      <c r="T384" s="373"/>
      <c r="U384" s="373"/>
      <c r="V384" s="373"/>
    </row>
    <row r="385" spans="6:22" ht="58.5" customHeight="1" x14ac:dyDescent="0.3">
      <c r="F385" s="373"/>
      <c r="G385" s="373"/>
      <c r="H385" s="373"/>
      <c r="I385" s="373"/>
      <c r="J385" s="373"/>
      <c r="K385" s="374"/>
      <c r="L385" s="373"/>
      <c r="M385" s="373"/>
      <c r="N385" s="373"/>
      <c r="O385" s="373"/>
      <c r="P385" s="373"/>
      <c r="Q385" s="373"/>
      <c r="R385" s="373"/>
      <c r="S385" s="373"/>
      <c r="T385" s="373"/>
      <c r="U385" s="373"/>
      <c r="V385" s="373"/>
    </row>
    <row r="386" spans="6:22" ht="58.5" customHeight="1" x14ac:dyDescent="0.3">
      <c r="F386" s="373"/>
      <c r="G386" s="373"/>
      <c r="H386" s="373"/>
      <c r="I386" s="373"/>
      <c r="J386" s="373"/>
      <c r="K386" s="374"/>
      <c r="L386" s="373"/>
      <c r="M386" s="373"/>
      <c r="N386" s="373"/>
      <c r="O386" s="373"/>
      <c r="P386" s="373"/>
      <c r="Q386" s="373"/>
      <c r="R386" s="373"/>
      <c r="S386" s="373"/>
      <c r="T386" s="373"/>
      <c r="U386" s="373"/>
      <c r="V386" s="373"/>
    </row>
    <row r="387" spans="6:22" ht="58.5" customHeight="1" x14ac:dyDescent="0.3">
      <c r="F387" s="373"/>
      <c r="G387" s="373"/>
      <c r="H387" s="373"/>
      <c r="I387" s="373"/>
      <c r="J387" s="373"/>
      <c r="K387" s="374"/>
      <c r="L387" s="373"/>
      <c r="M387" s="373"/>
      <c r="N387" s="373"/>
      <c r="O387" s="373"/>
      <c r="P387" s="373"/>
      <c r="Q387" s="373"/>
      <c r="R387" s="373"/>
      <c r="S387" s="373"/>
      <c r="T387" s="373"/>
      <c r="U387" s="373"/>
      <c r="V387" s="373"/>
    </row>
    <row r="388" spans="6:22" ht="58.5" customHeight="1" x14ac:dyDescent="0.3">
      <c r="F388" s="373"/>
      <c r="G388" s="373"/>
      <c r="H388" s="373"/>
      <c r="I388" s="373"/>
      <c r="J388" s="373"/>
      <c r="K388" s="374"/>
      <c r="L388" s="373"/>
      <c r="M388" s="373"/>
      <c r="N388" s="373"/>
      <c r="O388" s="373"/>
      <c r="P388" s="373"/>
      <c r="Q388" s="373"/>
      <c r="R388" s="373"/>
      <c r="S388" s="373"/>
      <c r="T388" s="373"/>
      <c r="U388" s="373"/>
      <c r="V388" s="373"/>
    </row>
    <row r="389" spans="6:22" ht="58.5" customHeight="1" x14ac:dyDescent="0.3">
      <c r="F389" s="373"/>
      <c r="G389" s="373"/>
      <c r="H389" s="373"/>
      <c r="I389" s="373"/>
      <c r="J389" s="373"/>
      <c r="K389" s="374"/>
      <c r="L389" s="373"/>
      <c r="M389" s="373"/>
      <c r="N389" s="373"/>
      <c r="O389" s="373"/>
      <c r="P389" s="373"/>
      <c r="Q389" s="373"/>
      <c r="R389" s="373"/>
      <c r="S389" s="373"/>
      <c r="T389" s="373"/>
      <c r="U389" s="373"/>
      <c r="V389" s="373"/>
    </row>
    <row r="390" spans="6:22" ht="58.5" customHeight="1" x14ac:dyDescent="0.3">
      <c r="F390" s="373"/>
      <c r="G390" s="373"/>
      <c r="H390" s="373"/>
      <c r="I390" s="373"/>
      <c r="J390" s="373"/>
      <c r="K390" s="374"/>
      <c r="L390" s="373"/>
      <c r="M390" s="373"/>
      <c r="N390" s="373"/>
      <c r="O390" s="373"/>
      <c r="P390" s="373"/>
      <c r="Q390" s="373"/>
      <c r="R390" s="373"/>
      <c r="S390" s="373"/>
      <c r="T390" s="373"/>
      <c r="U390" s="373"/>
      <c r="V390" s="373"/>
    </row>
    <row r="391" spans="6:22" ht="58.5" customHeight="1" x14ac:dyDescent="0.3">
      <c r="F391" s="373"/>
      <c r="G391" s="373"/>
      <c r="H391" s="373"/>
      <c r="I391" s="373"/>
      <c r="J391" s="373"/>
      <c r="K391" s="374"/>
      <c r="L391" s="373"/>
      <c r="M391" s="373"/>
      <c r="N391" s="373"/>
      <c r="O391" s="373"/>
      <c r="P391" s="373"/>
      <c r="Q391" s="373"/>
      <c r="R391" s="373"/>
      <c r="S391" s="373"/>
      <c r="T391" s="373"/>
      <c r="U391" s="373"/>
      <c r="V391" s="373"/>
    </row>
    <row r="392" spans="6:22" ht="58.5" customHeight="1" x14ac:dyDescent="0.3">
      <c r="F392" s="373"/>
      <c r="G392" s="373"/>
      <c r="H392" s="373"/>
      <c r="I392" s="373"/>
      <c r="J392" s="373"/>
      <c r="K392" s="374"/>
      <c r="L392" s="373"/>
      <c r="M392" s="373"/>
      <c r="N392" s="373"/>
      <c r="O392" s="373"/>
      <c r="P392" s="373"/>
      <c r="Q392" s="373"/>
      <c r="R392" s="373"/>
      <c r="S392" s="373"/>
      <c r="T392" s="373"/>
      <c r="U392" s="373"/>
      <c r="V392" s="373"/>
    </row>
    <row r="393" spans="6:22" ht="58.5" customHeight="1" x14ac:dyDescent="0.3">
      <c r="F393" s="373"/>
      <c r="G393" s="373"/>
      <c r="H393" s="373"/>
      <c r="I393" s="373"/>
      <c r="J393" s="373"/>
      <c r="K393" s="374"/>
      <c r="L393" s="373"/>
      <c r="M393" s="373"/>
      <c r="N393" s="373"/>
      <c r="O393" s="373"/>
      <c r="P393" s="373"/>
      <c r="Q393" s="373"/>
      <c r="R393" s="373"/>
      <c r="S393" s="373"/>
      <c r="T393" s="373"/>
      <c r="U393" s="373"/>
      <c r="V393" s="373"/>
    </row>
    <row r="394" spans="6:22" ht="58.5" customHeight="1" x14ac:dyDescent="0.3">
      <c r="F394" s="373"/>
      <c r="G394" s="373"/>
      <c r="H394" s="373"/>
      <c r="I394" s="373"/>
      <c r="J394" s="373"/>
      <c r="K394" s="374"/>
      <c r="L394" s="373"/>
      <c r="M394" s="373"/>
      <c r="N394" s="373"/>
      <c r="O394" s="373"/>
      <c r="P394" s="373"/>
      <c r="Q394" s="373"/>
      <c r="R394" s="373"/>
      <c r="S394" s="373"/>
      <c r="T394" s="373"/>
      <c r="U394" s="373"/>
      <c r="V394" s="373"/>
    </row>
    <row r="395" spans="6:22" ht="58.5" customHeight="1" x14ac:dyDescent="0.3">
      <c r="F395" s="373"/>
      <c r="G395" s="373"/>
      <c r="H395" s="373"/>
      <c r="I395" s="373"/>
      <c r="J395" s="373"/>
      <c r="K395" s="374"/>
      <c r="L395" s="373"/>
      <c r="M395" s="373"/>
      <c r="N395" s="373"/>
      <c r="O395" s="373"/>
      <c r="P395" s="373"/>
      <c r="Q395" s="373"/>
      <c r="R395" s="373"/>
      <c r="S395" s="373"/>
      <c r="T395" s="373"/>
      <c r="U395" s="373"/>
      <c r="V395" s="373"/>
    </row>
    <row r="396" spans="6:22" ht="58.5" customHeight="1" x14ac:dyDescent="0.3">
      <c r="F396" s="373"/>
      <c r="G396" s="373"/>
      <c r="H396" s="373"/>
      <c r="I396" s="373"/>
      <c r="J396" s="373"/>
      <c r="K396" s="374"/>
      <c r="L396" s="373"/>
      <c r="M396" s="373"/>
      <c r="N396" s="373"/>
      <c r="O396" s="373"/>
      <c r="P396" s="373"/>
      <c r="Q396" s="373"/>
      <c r="R396" s="373"/>
      <c r="S396" s="373"/>
      <c r="T396" s="373"/>
      <c r="U396" s="373"/>
      <c r="V396" s="373"/>
    </row>
    <row r="397" spans="6:22" ht="58.5" customHeight="1" x14ac:dyDescent="0.3">
      <c r="F397" s="373"/>
      <c r="G397" s="373"/>
      <c r="H397" s="373"/>
      <c r="I397" s="373"/>
      <c r="J397" s="373"/>
      <c r="K397" s="374"/>
      <c r="L397" s="373"/>
      <c r="M397" s="373"/>
      <c r="N397" s="373"/>
      <c r="O397" s="373"/>
      <c r="P397" s="373"/>
      <c r="Q397" s="373"/>
      <c r="R397" s="373"/>
      <c r="S397" s="373"/>
      <c r="T397" s="373"/>
      <c r="U397" s="373"/>
      <c r="V397" s="373"/>
    </row>
    <row r="398" spans="6:22" ht="58.5" customHeight="1" x14ac:dyDescent="0.3">
      <c r="F398" s="373"/>
      <c r="G398" s="373"/>
      <c r="H398" s="373"/>
      <c r="I398" s="373"/>
      <c r="J398" s="373"/>
      <c r="K398" s="374"/>
      <c r="L398" s="373"/>
      <c r="M398" s="373"/>
      <c r="N398" s="373"/>
      <c r="O398" s="373"/>
      <c r="P398" s="373"/>
      <c r="Q398" s="373"/>
      <c r="R398" s="373"/>
      <c r="S398" s="373"/>
      <c r="T398" s="373"/>
      <c r="U398" s="373"/>
      <c r="V398" s="373"/>
    </row>
    <row r="399" spans="6:22" ht="58.5" customHeight="1" x14ac:dyDescent="0.3">
      <c r="F399" s="373"/>
      <c r="G399" s="373"/>
      <c r="H399" s="373"/>
      <c r="I399" s="373"/>
      <c r="J399" s="373"/>
      <c r="K399" s="374"/>
      <c r="L399" s="373"/>
      <c r="M399" s="373"/>
      <c r="N399" s="373"/>
      <c r="O399" s="373"/>
      <c r="P399" s="373"/>
      <c r="Q399" s="373"/>
      <c r="R399" s="373"/>
      <c r="S399" s="373"/>
      <c r="T399" s="373"/>
      <c r="U399" s="373"/>
      <c r="V399" s="373"/>
    </row>
    <row r="400" spans="6:22" ht="58.5" customHeight="1" x14ac:dyDescent="0.3">
      <c r="F400" s="373"/>
      <c r="G400" s="373"/>
      <c r="H400" s="373"/>
      <c r="I400" s="373"/>
      <c r="J400" s="373"/>
      <c r="K400" s="374"/>
      <c r="L400" s="373"/>
      <c r="M400" s="373"/>
      <c r="N400" s="373"/>
      <c r="O400" s="373"/>
      <c r="P400" s="373"/>
      <c r="Q400" s="373"/>
      <c r="R400" s="373"/>
      <c r="S400" s="373"/>
      <c r="T400" s="373"/>
      <c r="U400" s="373"/>
      <c r="V400" s="373"/>
    </row>
    <row r="401" spans="6:22" ht="58.5" customHeight="1" x14ac:dyDescent="0.3">
      <c r="F401" s="373"/>
      <c r="G401" s="373"/>
      <c r="H401" s="373"/>
      <c r="I401" s="373"/>
      <c r="J401" s="373"/>
      <c r="K401" s="374"/>
      <c r="L401" s="373"/>
      <c r="M401" s="373"/>
      <c r="N401" s="373"/>
      <c r="O401" s="373"/>
      <c r="P401" s="373"/>
      <c r="Q401" s="373"/>
      <c r="R401" s="373"/>
      <c r="S401" s="373"/>
      <c r="T401" s="373"/>
      <c r="U401" s="373"/>
      <c r="V401" s="373"/>
    </row>
    <row r="402" spans="6:22" ht="58.5" customHeight="1" x14ac:dyDescent="0.3">
      <c r="F402" s="373"/>
      <c r="G402" s="373"/>
      <c r="H402" s="373"/>
      <c r="I402" s="373"/>
      <c r="J402" s="373"/>
      <c r="K402" s="374"/>
      <c r="L402" s="373"/>
      <c r="M402" s="373"/>
      <c r="N402" s="373"/>
      <c r="O402" s="373"/>
      <c r="P402" s="373"/>
      <c r="Q402" s="373"/>
      <c r="R402" s="373"/>
      <c r="S402" s="373"/>
      <c r="T402" s="373"/>
      <c r="U402" s="373"/>
      <c r="V402" s="373"/>
    </row>
    <row r="403" spans="6:22" ht="58.5" customHeight="1" x14ac:dyDescent="0.3">
      <c r="F403" s="373"/>
      <c r="G403" s="373"/>
      <c r="H403" s="373"/>
      <c r="I403" s="373"/>
      <c r="J403" s="373"/>
      <c r="K403" s="374"/>
      <c r="L403" s="373"/>
      <c r="M403" s="373"/>
      <c r="N403" s="373"/>
      <c r="O403" s="373"/>
      <c r="P403" s="373"/>
      <c r="Q403" s="373"/>
      <c r="R403" s="373"/>
      <c r="S403" s="373"/>
      <c r="T403" s="373"/>
      <c r="U403" s="373"/>
      <c r="V403" s="373"/>
    </row>
    <row r="404" spans="6:22" ht="58.5" customHeight="1" x14ac:dyDescent="0.3">
      <c r="F404" s="373"/>
      <c r="G404" s="373"/>
      <c r="H404" s="373"/>
      <c r="I404" s="373"/>
      <c r="J404" s="373"/>
      <c r="K404" s="374"/>
      <c r="L404" s="373"/>
      <c r="M404" s="373"/>
      <c r="N404" s="373"/>
      <c r="O404" s="373"/>
      <c r="P404" s="373"/>
      <c r="Q404" s="373"/>
      <c r="R404" s="373"/>
      <c r="S404" s="373"/>
      <c r="T404" s="373"/>
      <c r="U404" s="373"/>
      <c r="V404" s="373"/>
    </row>
    <row r="405" spans="6:22" ht="58.5" customHeight="1" x14ac:dyDescent="0.3">
      <c r="F405" s="373"/>
      <c r="G405" s="373"/>
      <c r="H405" s="373"/>
      <c r="I405" s="373"/>
      <c r="J405" s="373"/>
      <c r="K405" s="374"/>
      <c r="L405" s="373"/>
      <c r="M405" s="373"/>
      <c r="N405" s="373"/>
      <c r="O405" s="373"/>
      <c r="P405" s="373"/>
      <c r="Q405" s="373"/>
      <c r="R405" s="373"/>
      <c r="S405" s="373"/>
      <c r="T405" s="373"/>
      <c r="U405" s="373"/>
      <c r="V405" s="373"/>
    </row>
    <row r="406" spans="6:22" ht="58.5" customHeight="1" x14ac:dyDescent="0.3">
      <c r="F406" s="373"/>
      <c r="G406" s="373"/>
      <c r="H406" s="373"/>
      <c r="I406" s="373"/>
      <c r="J406" s="373"/>
      <c r="K406" s="374"/>
      <c r="L406" s="373"/>
      <c r="M406" s="373"/>
      <c r="N406" s="373"/>
      <c r="O406" s="373"/>
      <c r="P406" s="373"/>
      <c r="Q406" s="373"/>
      <c r="R406" s="373"/>
      <c r="S406" s="373"/>
      <c r="T406" s="373"/>
      <c r="U406" s="373"/>
      <c r="V406" s="373"/>
    </row>
    <row r="407" spans="6:22" ht="58.5" customHeight="1" x14ac:dyDescent="0.3">
      <c r="F407" s="373"/>
      <c r="G407" s="373"/>
      <c r="H407" s="373"/>
      <c r="I407" s="373"/>
      <c r="J407" s="373"/>
      <c r="K407" s="374"/>
      <c r="L407" s="373"/>
      <c r="M407" s="373"/>
      <c r="N407" s="373"/>
      <c r="O407" s="373"/>
      <c r="P407" s="373"/>
      <c r="Q407" s="373"/>
      <c r="R407" s="373"/>
      <c r="S407" s="373"/>
      <c r="T407" s="373"/>
      <c r="U407" s="373"/>
      <c r="V407" s="373"/>
    </row>
    <row r="408" spans="6:22" ht="58.5" customHeight="1" x14ac:dyDescent="0.3">
      <c r="F408" s="373"/>
      <c r="G408" s="373"/>
      <c r="H408" s="373"/>
      <c r="I408" s="373"/>
      <c r="J408" s="373"/>
      <c r="K408" s="374"/>
      <c r="L408" s="373"/>
      <c r="M408" s="373"/>
      <c r="N408" s="373"/>
      <c r="O408" s="373"/>
      <c r="P408" s="373"/>
      <c r="Q408" s="373"/>
      <c r="R408" s="373"/>
      <c r="S408" s="373"/>
      <c r="T408" s="373"/>
      <c r="U408" s="373"/>
      <c r="V408" s="373"/>
    </row>
    <row r="409" spans="6:22" ht="58.5" customHeight="1" x14ac:dyDescent="0.3">
      <c r="F409" s="373"/>
      <c r="G409" s="373"/>
      <c r="H409" s="373"/>
      <c r="I409" s="373"/>
      <c r="J409" s="373"/>
      <c r="K409" s="374"/>
      <c r="L409" s="373"/>
      <c r="M409" s="373"/>
      <c r="N409" s="373"/>
      <c r="O409" s="373"/>
      <c r="P409" s="373"/>
      <c r="Q409" s="373"/>
      <c r="R409" s="373"/>
      <c r="S409" s="373"/>
      <c r="T409" s="373"/>
      <c r="U409" s="373"/>
      <c r="V409" s="373"/>
    </row>
    <row r="410" spans="6:22" ht="58.5" customHeight="1" x14ac:dyDescent="0.3">
      <c r="F410" s="373"/>
      <c r="G410" s="373"/>
      <c r="H410" s="373"/>
      <c r="I410" s="373"/>
      <c r="J410" s="373"/>
      <c r="K410" s="374"/>
      <c r="L410" s="373"/>
      <c r="M410" s="373"/>
      <c r="N410" s="373"/>
      <c r="O410" s="373"/>
      <c r="P410" s="373"/>
      <c r="Q410" s="373"/>
      <c r="R410" s="373"/>
      <c r="S410" s="373"/>
      <c r="T410" s="373"/>
      <c r="U410" s="373"/>
      <c r="V410" s="373"/>
    </row>
    <row r="411" spans="6:22" ht="58.5" customHeight="1" x14ac:dyDescent="0.3">
      <c r="F411" s="373"/>
      <c r="G411" s="373"/>
      <c r="H411" s="373"/>
      <c r="I411" s="373"/>
      <c r="J411" s="373"/>
      <c r="K411" s="374"/>
      <c r="L411" s="373"/>
      <c r="M411" s="373"/>
      <c r="N411" s="373"/>
      <c r="O411" s="373"/>
      <c r="P411" s="373"/>
      <c r="Q411" s="373"/>
      <c r="R411" s="373"/>
      <c r="S411" s="373"/>
      <c r="T411" s="373"/>
      <c r="U411" s="373"/>
      <c r="V411" s="373"/>
    </row>
    <row r="412" spans="6:22" ht="58.5" customHeight="1" x14ac:dyDescent="0.3">
      <c r="F412" s="373"/>
      <c r="G412" s="373"/>
      <c r="H412" s="373"/>
      <c r="I412" s="373"/>
      <c r="J412" s="373"/>
      <c r="K412" s="374"/>
      <c r="L412" s="373"/>
      <c r="M412" s="373"/>
      <c r="N412" s="373"/>
      <c r="O412" s="373"/>
      <c r="P412" s="373"/>
      <c r="Q412" s="373"/>
      <c r="R412" s="373"/>
      <c r="S412" s="373"/>
      <c r="T412" s="373"/>
      <c r="U412" s="373"/>
      <c r="V412" s="373"/>
    </row>
    <row r="413" spans="6:22" ht="58.5" customHeight="1" x14ac:dyDescent="0.3">
      <c r="F413" s="373"/>
      <c r="G413" s="373"/>
      <c r="H413" s="373"/>
      <c r="I413" s="373"/>
      <c r="J413" s="373"/>
      <c r="K413" s="374"/>
      <c r="L413" s="373"/>
      <c r="M413" s="373"/>
      <c r="N413" s="373"/>
      <c r="O413" s="373"/>
      <c r="P413" s="373"/>
      <c r="Q413" s="373"/>
      <c r="R413" s="373"/>
      <c r="S413" s="373"/>
      <c r="T413" s="373"/>
      <c r="U413" s="373"/>
      <c r="V413" s="373"/>
    </row>
    <row r="414" spans="6:22" ht="58.5" customHeight="1" x14ac:dyDescent="0.3">
      <c r="F414" s="373"/>
      <c r="G414" s="373"/>
      <c r="H414" s="373"/>
      <c r="I414" s="373"/>
      <c r="J414" s="373"/>
      <c r="K414" s="374"/>
      <c r="L414" s="373"/>
      <c r="M414" s="373"/>
      <c r="N414" s="373"/>
      <c r="O414" s="373"/>
      <c r="P414" s="373"/>
      <c r="Q414" s="373"/>
      <c r="R414" s="373"/>
      <c r="S414" s="373"/>
      <c r="T414" s="373"/>
      <c r="U414" s="373"/>
      <c r="V414" s="373"/>
    </row>
    <row r="415" spans="6:22" ht="58.5" customHeight="1" x14ac:dyDescent="0.3">
      <c r="F415" s="373"/>
      <c r="G415" s="373"/>
      <c r="H415" s="373"/>
      <c r="I415" s="373"/>
      <c r="J415" s="373"/>
      <c r="K415" s="374"/>
      <c r="L415" s="373"/>
      <c r="M415" s="373"/>
      <c r="N415" s="373"/>
      <c r="O415" s="373"/>
      <c r="P415" s="373"/>
      <c r="Q415" s="373"/>
      <c r="R415" s="373"/>
      <c r="S415" s="373"/>
      <c r="T415" s="373"/>
      <c r="U415" s="373"/>
      <c r="V415" s="373"/>
    </row>
    <row r="416" spans="6:22" ht="58.5" customHeight="1" x14ac:dyDescent="0.3">
      <c r="F416" s="373"/>
      <c r="G416" s="373"/>
      <c r="H416" s="373"/>
      <c r="I416" s="373"/>
      <c r="J416" s="373"/>
      <c r="K416" s="374"/>
      <c r="L416" s="373"/>
      <c r="M416" s="373"/>
      <c r="N416" s="373"/>
      <c r="O416" s="373"/>
      <c r="P416" s="373"/>
      <c r="Q416" s="373"/>
      <c r="R416" s="373"/>
      <c r="S416" s="373"/>
      <c r="T416" s="373"/>
      <c r="U416" s="373"/>
      <c r="V416" s="373"/>
    </row>
    <row r="417" spans="6:22" ht="58.5" customHeight="1" x14ac:dyDescent="0.3">
      <c r="F417" s="373"/>
      <c r="G417" s="373"/>
      <c r="H417" s="373"/>
      <c r="I417" s="373"/>
      <c r="J417" s="373"/>
      <c r="K417" s="374"/>
      <c r="L417" s="373"/>
      <c r="M417" s="373"/>
      <c r="N417" s="373"/>
      <c r="O417" s="373"/>
      <c r="P417" s="373"/>
      <c r="Q417" s="373"/>
      <c r="R417" s="373"/>
      <c r="S417" s="373"/>
      <c r="T417" s="373"/>
      <c r="U417" s="373"/>
      <c r="V417" s="373"/>
    </row>
    <row r="418" spans="6:22" ht="58.5" customHeight="1" x14ac:dyDescent="0.3">
      <c r="F418" s="373"/>
      <c r="G418" s="373"/>
      <c r="H418" s="373"/>
      <c r="I418" s="373"/>
      <c r="J418" s="373"/>
      <c r="K418" s="374"/>
      <c r="L418" s="373"/>
      <c r="M418" s="373"/>
      <c r="N418" s="373"/>
      <c r="O418" s="373"/>
      <c r="P418" s="373"/>
      <c r="Q418" s="373"/>
      <c r="R418" s="373"/>
      <c r="S418" s="373"/>
      <c r="T418" s="373"/>
      <c r="U418" s="373"/>
      <c r="V418" s="373"/>
    </row>
    <row r="419" spans="6:22" ht="58.5" customHeight="1" x14ac:dyDescent="0.3">
      <c r="F419" s="373"/>
      <c r="G419" s="373"/>
      <c r="H419" s="373"/>
      <c r="I419" s="373"/>
      <c r="J419" s="373"/>
      <c r="K419" s="374"/>
      <c r="L419" s="373"/>
      <c r="M419" s="373"/>
      <c r="N419" s="373"/>
      <c r="O419" s="373"/>
      <c r="P419" s="373"/>
      <c r="Q419" s="373"/>
      <c r="R419" s="373"/>
      <c r="S419" s="373"/>
      <c r="T419" s="373"/>
      <c r="U419" s="373"/>
      <c r="V419" s="373"/>
    </row>
    <row r="420" spans="6:22" ht="58.5" customHeight="1" x14ac:dyDescent="0.3">
      <c r="F420" s="373"/>
      <c r="G420" s="373"/>
      <c r="H420" s="373"/>
      <c r="I420" s="373"/>
      <c r="J420" s="373"/>
      <c r="K420" s="374"/>
      <c r="L420" s="373"/>
      <c r="M420" s="373"/>
      <c r="N420" s="373"/>
      <c r="O420" s="373"/>
      <c r="P420" s="373"/>
      <c r="Q420" s="373"/>
      <c r="R420" s="373"/>
      <c r="S420" s="373"/>
      <c r="T420" s="373"/>
      <c r="U420" s="373"/>
      <c r="V420" s="373"/>
    </row>
    <row r="421" spans="6:22" ht="58.5" customHeight="1" x14ac:dyDescent="0.3">
      <c r="F421" s="373"/>
      <c r="G421" s="373"/>
      <c r="H421" s="373"/>
      <c r="I421" s="373"/>
      <c r="J421" s="373"/>
      <c r="K421" s="374"/>
      <c r="L421" s="373"/>
      <c r="M421" s="373"/>
      <c r="N421" s="373"/>
      <c r="O421" s="373"/>
      <c r="P421" s="373"/>
      <c r="Q421" s="373"/>
      <c r="R421" s="373"/>
      <c r="S421" s="373"/>
      <c r="T421" s="373"/>
      <c r="U421" s="373"/>
      <c r="V421" s="373"/>
    </row>
    <row r="422" spans="6:22" ht="58.5" customHeight="1" x14ac:dyDescent="0.3">
      <c r="F422" s="373"/>
      <c r="G422" s="373"/>
      <c r="H422" s="373"/>
      <c r="I422" s="373"/>
      <c r="J422" s="373"/>
      <c r="K422" s="374"/>
      <c r="L422" s="373"/>
      <c r="M422" s="373"/>
      <c r="N422" s="373"/>
      <c r="O422" s="373"/>
      <c r="P422" s="373"/>
      <c r="Q422" s="373"/>
      <c r="R422" s="373"/>
      <c r="S422" s="373"/>
      <c r="T422" s="373"/>
      <c r="U422" s="373"/>
      <c r="V422" s="373"/>
    </row>
    <row r="423" spans="6:22" ht="58.5" customHeight="1" x14ac:dyDescent="0.3">
      <c r="F423" s="373"/>
      <c r="G423" s="373"/>
      <c r="H423" s="373"/>
      <c r="I423" s="373"/>
      <c r="J423" s="373"/>
      <c r="K423" s="374"/>
      <c r="L423" s="373"/>
      <c r="M423" s="373"/>
      <c r="N423" s="373"/>
      <c r="O423" s="373"/>
      <c r="P423" s="373"/>
      <c r="Q423" s="373"/>
      <c r="R423" s="373"/>
      <c r="S423" s="373"/>
      <c r="T423" s="373"/>
      <c r="U423" s="373"/>
      <c r="V423" s="373"/>
    </row>
    <row r="424" spans="6:22" ht="58.5" customHeight="1" x14ac:dyDescent="0.3">
      <c r="F424" s="373"/>
      <c r="G424" s="373"/>
      <c r="H424" s="373"/>
      <c r="I424" s="373"/>
      <c r="J424" s="373"/>
      <c r="K424" s="374"/>
      <c r="L424" s="373"/>
      <c r="M424" s="373"/>
      <c r="N424" s="373"/>
      <c r="O424" s="373"/>
      <c r="P424" s="373"/>
      <c r="Q424" s="373"/>
      <c r="R424" s="373"/>
      <c r="S424" s="373"/>
      <c r="T424" s="373"/>
      <c r="U424" s="373"/>
      <c r="V424" s="373"/>
    </row>
    <row r="425" spans="6:22" ht="58.5" customHeight="1" x14ac:dyDescent="0.3">
      <c r="F425" s="373"/>
      <c r="G425" s="373"/>
      <c r="H425" s="373"/>
      <c r="I425" s="373"/>
      <c r="J425" s="373"/>
      <c r="K425" s="374"/>
      <c r="L425" s="373"/>
      <c r="M425" s="373"/>
      <c r="N425" s="373"/>
      <c r="O425" s="373"/>
      <c r="P425" s="373"/>
      <c r="Q425" s="373"/>
      <c r="R425" s="373"/>
      <c r="S425" s="373"/>
      <c r="T425" s="373"/>
      <c r="U425" s="373"/>
      <c r="V425" s="373"/>
    </row>
    <row r="426" spans="6:22" ht="58.5" customHeight="1" x14ac:dyDescent="0.3">
      <c r="F426" s="373"/>
      <c r="G426" s="373"/>
      <c r="H426" s="373"/>
      <c r="I426" s="373"/>
      <c r="J426" s="373"/>
      <c r="K426" s="374"/>
      <c r="L426" s="373"/>
      <c r="M426" s="373"/>
      <c r="N426" s="373"/>
      <c r="O426" s="373"/>
      <c r="P426" s="373"/>
      <c r="Q426" s="373"/>
      <c r="R426" s="373"/>
      <c r="S426" s="373"/>
      <c r="T426" s="373"/>
      <c r="U426" s="373"/>
      <c r="V426" s="373"/>
    </row>
    <row r="427" spans="6:22" ht="58.5" customHeight="1" x14ac:dyDescent="0.3">
      <c r="F427" s="373"/>
      <c r="G427" s="373"/>
      <c r="H427" s="373"/>
      <c r="I427" s="373"/>
      <c r="J427" s="373"/>
      <c r="K427" s="374"/>
      <c r="L427" s="373"/>
      <c r="M427" s="373"/>
      <c r="N427" s="373"/>
      <c r="O427" s="373"/>
      <c r="P427" s="373"/>
      <c r="Q427" s="373"/>
      <c r="R427" s="373"/>
      <c r="S427" s="373"/>
      <c r="T427" s="373"/>
      <c r="U427" s="373"/>
      <c r="V427" s="373"/>
    </row>
    <row r="428" spans="6:22" ht="58.5" customHeight="1" x14ac:dyDescent="0.3">
      <c r="F428" s="373"/>
      <c r="G428" s="373"/>
      <c r="H428" s="373"/>
      <c r="I428" s="373"/>
      <c r="J428" s="373"/>
      <c r="K428" s="374"/>
      <c r="L428" s="373"/>
      <c r="M428" s="373"/>
      <c r="N428" s="373"/>
      <c r="O428" s="373"/>
      <c r="P428" s="373"/>
      <c r="Q428" s="373"/>
      <c r="R428" s="373"/>
      <c r="S428" s="373"/>
      <c r="T428" s="373"/>
      <c r="U428" s="373"/>
      <c r="V428" s="373"/>
    </row>
    <row r="429" spans="6:22" ht="58.5" customHeight="1" x14ac:dyDescent="0.3">
      <c r="F429" s="373"/>
      <c r="G429" s="373"/>
      <c r="H429" s="373"/>
      <c r="I429" s="373"/>
      <c r="J429" s="373"/>
      <c r="K429" s="374"/>
      <c r="L429" s="373"/>
      <c r="M429" s="373"/>
      <c r="N429" s="373"/>
      <c r="O429" s="373"/>
      <c r="P429" s="373"/>
      <c r="Q429" s="373"/>
      <c r="R429" s="373"/>
      <c r="S429" s="373"/>
      <c r="T429" s="373"/>
      <c r="U429" s="373"/>
      <c r="V429" s="373"/>
    </row>
    <row r="430" spans="6:22" ht="58.5" customHeight="1" x14ac:dyDescent="0.3">
      <c r="F430" s="373"/>
      <c r="G430" s="373"/>
      <c r="H430" s="373"/>
      <c r="I430" s="373"/>
      <c r="J430" s="373"/>
      <c r="K430" s="374"/>
      <c r="L430" s="373"/>
      <c r="M430" s="373"/>
      <c r="N430" s="373"/>
      <c r="O430" s="373"/>
      <c r="P430" s="373"/>
      <c r="Q430" s="373"/>
      <c r="R430" s="373"/>
      <c r="S430" s="373"/>
      <c r="T430" s="373"/>
      <c r="U430" s="373"/>
      <c r="V430" s="373"/>
    </row>
    <row r="431" spans="6:22" ht="58.5" customHeight="1" x14ac:dyDescent="0.3">
      <c r="F431" s="373"/>
      <c r="G431" s="373"/>
      <c r="H431" s="373"/>
      <c r="I431" s="373"/>
      <c r="J431" s="373"/>
      <c r="K431" s="374"/>
      <c r="L431" s="373"/>
      <c r="M431" s="373"/>
      <c r="N431" s="373"/>
      <c r="O431" s="373"/>
      <c r="P431" s="373"/>
      <c r="Q431" s="373"/>
      <c r="R431" s="373"/>
      <c r="S431" s="373"/>
      <c r="T431" s="373"/>
      <c r="U431" s="373"/>
      <c r="V431" s="373"/>
    </row>
    <row r="432" spans="6:22" ht="58.5" customHeight="1" x14ac:dyDescent="0.3">
      <c r="F432" s="373"/>
      <c r="G432" s="373"/>
      <c r="H432" s="373"/>
      <c r="I432" s="373"/>
      <c r="J432" s="373"/>
      <c r="K432" s="374"/>
      <c r="L432" s="373"/>
      <c r="M432" s="373"/>
      <c r="N432" s="373"/>
      <c r="O432" s="373"/>
      <c r="P432" s="373"/>
      <c r="Q432" s="373"/>
      <c r="R432" s="373"/>
      <c r="S432" s="373"/>
      <c r="T432" s="373"/>
      <c r="U432" s="373"/>
      <c r="V432" s="373"/>
    </row>
    <row r="433" spans="6:22" ht="58.5" customHeight="1" x14ac:dyDescent="0.3">
      <c r="F433" s="373"/>
      <c r="G433" s="373"/>
      <c r="H433" s="373"/>
      <c r="I433" s="373"/>
      <c r="J433" s="373"/>
      <c r="K433" s="374"/>
      <c r="L433" s="373"/>
      <c r="M433" s="373"/>
      <c r="N433" s="373"/>
      <c r="O433" s="373"/>
      <c r="P433" s="373"/>
      <c r="Q433" s="373"/>
      <c r="R433" s="373"/>
      <c r="S433" s="373"/>
      <c r="T433" s="373"/>
      <c r="U433" s="373"/>
      <c r="V433" s="373"/>
    </row>
    <row r="434" spans="6:22" ht="58.5" customHeight="1" x14ac:dyDescent="0.3">
      <c r="F434" s="373"/>
      <c r="G434" s="373"/>
      <c r="H434" s="373"/>
      <c r="I434" s="373"/>
      <c r="J434" s="373"/>
      <c r="K434" s="374"/>
      <c r="L434" s="373"/>
      <c r="M434" s="373"/>
      <c r="N434" s="373"/>
      <c r="O434" s="373"/>
      <c r="P434" s="373"/>
      <c r="Q434" s="373"/>
      <c r="R434" s="373"/>
      <c r="S434" s="373"/>
      <c r="T434" s="373"/>
      <c r="U434" s="373"/>
      <c r="V434" s="373"/>
    </row>
    <row r="435" spans="6:22" ht="58.5" customHeight="1" x14ac:dyDescent="0.3">
      <c r="F435" s="373"/>
      <c r="G435" s="373"/>
      <c r="H435" s="373"/>
      <c r="I435" s="373"/>
      <c r="J435" s="373"/>
      <c r="K435" s="374"/>
      <c r="L435" s="373"/>
      <c r="M435" s="373"/>
      <c r="N435" s="373"/>
      <c r="O435" s="373"/>
      <c r="P435" s="373"/>
      <c r="Q435" s="373"/>
      <c r="R435" s="373"/>
      <c r="S435" s="373"/>
      <c r="T435" s="373"/>
      <c r="U435" s="373"/>
      <c r="V435" s="373"/>
    </row>
    <row r="436" spans="6:22" ht="58.5" customHeight="1" x14ac:dyDescent="0.3">
      <c r="F436" s="373"/>
      <c r="G436" s="373"/>
      <c r="H436" s="373"/>
      <c r="I436" s="373"/>
      <c r="J436" s="373"/>
      <c r="K436" s="374"/>
      <c r="L436" s="373"/>
      <c r="M436" s="373"/>
      <c r="N436" s="373"/>
      <c r="O436" s="373"/>
      <c r="P436" s="373"/>
      <c r="Q436" s="373"/>
      <c r="R436" s="373"/>
      <c r="S436" s="373"/>
      <c r="T436" s="373"/>
      <c r="U436" s="373"/>
      <c r="V436" s="373"/>
    </row>
    <row r="437" spans="6:22" ht="58.5" customHeight="1" x14ac:dyDescent="0.3">
      <c r="F437" s="373"/>
      <c r="G437" s="373"/>
      <c r="H437" s="373"/>
      <c r="I437" s="373"/>
      <c r="J437" s="373"/>
      <c r="K437" s="374"/>
      <c r="L437" s="373"/>
      <c r="M437" s="373"/>
      <c r="N437" s="373"/>
      <c r="O437" s="373"/>
      <c r="P437" s="373"/>
      <c r="Q437" s="373"/>
      <c r="R437" s="373"/>
      <c r="S437" s="373"/>
      <c r="T437" s="373"/>
      <c r="U437" s="373"/>
      <c r="V437" s="373"/>
    </row>
    <row r="438" spans="6:22" ht="58.5" customHeight="1" x14ac:dyDescent="0.3">
      <c r="F438" s="373"/>
      <c r="G438" s="373"/>
      <c r="H438" s="373"/>
      <c r="I438" s="373"/>
      <c r="J438" s="373"/>
      <c r="K438" s="374"/>
      <c r="L438" s="373"/>
      <c r="M438" s="373"/>
      <c r="N438" s="373"/>
      <c r="O438" s="373"/>
      <c r="P438" s="373"/>
      <c r="Q438" s="373"/>
      <c r="R438" s="373"/>
      <c r="S438" s="373"/>
      <c r="T438" s="373"/>
      <c r="U438" s="373"/>
      <c r="V438" s="373"/>
    </row>
    <row r="439" spans="6:22" ht="58.5" customHeight="1" x14ac:dyDescent="0.3">
      <c r="F439" s="373"/>
      <c r="G439" s="373"/>
      <c r="H439" s="373"/>
      <c r="I439" s="373"/>
      <c r="J439" s="373"/>
      <c r="K439" s="374"/>
      <c r="L439" s="373"/>
      <c r="M439" s="373"/>
      <c r="N439" s="373"/>
      <c r="O439" s="373"/>
      <c r="P439" s="373"/>
      <c r="Q439" s="373"/>
      <c r="R439" s="373"/>
      <c r="S439" s="373"/>
      <c r="T439" s="373"/>
      <c r="U439" s="373"/>
      <c r="V439" s="373"/>
    </row>
    <row r="440" spans="6:22" ht="58.5" customHeight="1" x14ac:dyDescent="0.3">
      <c r="F440" s="373"/>
      <c r="G440" s="373"/>
      <c r="H440" s="373"/>
      <c r="I440" s="373"/>
      <c r="J440" s="373"/>
      <c r="K440" s="374"/>
      <c r="L440" s="373"/>
      <c r="M440" s="373"/>
      <c r="N440" s="373"/>
      <c r="O440" s="373"/>
      <c r="P440" s="373"/>
      <c r="Q440" s="373"/>
      <c r="R440" s="373"/>
      <c r="S440" s="373"/>
      <c r="T440" s="373"/>
      <c r="U440" s="373"/>
      <c r="V440" s="373"/>
    </row>
    <row r="441" spans="6:22" ht="58.5" customHeight="1" x14ac:dyDescent="0.3">
      <c r="F441" s="373"/>
      <c r="G441" s="373"/>
      <c r="H441" s="373"/>
      <c r="I441" s="373"/>
      <c r="J441" s="373"/>
      <c r="K441" s="374"/>
      <c r="L441" s="373"/>
      <c r="M441" s="373"/>
      <c r="N441" s="373"/>
      <c r="O441" s="373"/>
      <c r="P441" s="373"/>
      <c r="Q441" s="373"/>
      <c r="R441" s="373"/>
      <c r="S441" s="373"/>
      <c r="T441" s="373"/>
      <c r="U441" s="373"/>
      <c r="V441" s="373"/>
    </row>
    <row r="442" spans="6:22" ht="58.5" customHeight="1" x14ac:dyDescent="0.3">
      <c r="F442" s="373"/>
      <c r="G442" s="373"/>
      <c r="H442" s="373"/>
      <c r="I442" s="373"/>
      <c r="J442" s="373"/>
      <c r="K442" s="374"/>
      <c r="L442" s="373"/>
      <c r="M442" s="373"/>
      <c r="N442" s="373"/>
      <c r="O442" s="373"/>
      <c r="P442" s="373"/>
      <c r="Q442" s="373"/>
      <c r="R442" s="373"/>
      <c r="S442" s="373"/>
      <c r="T442" s="373"/>
      <c r="U442" s="373"/>
      <c r="V442" s="373"/>
    </row>
    <row r="443" spans="6:22" ht="58.5" customHeight="1" x14ac:dyDescent="0.3">
      <c r="F443" s="373"/>
      <c r="G443" s="373"/>
      <c r="H443" s="373"/>
      <c r="I443" s="373"/>
      <c r="J443" s="373"/>
      <c r="K443" s="374"/>
      <c r="L443" s="373"/>
      <c r="M443" s="373"/>
      <c r="N443" s="373"/>
      <c r="O443" s="373"/>
      <c r="P443" s="373"/>
      <c r="Q443" s="373"/>
      <c r="R443" s="373"/>
      <c r="S443" s="373"/>
      <c r="T443" s="373"/>
      <c r="U443" s="373"/>
      <c r="V443" s="373"/>
    </row>
    <row r="444" spans="6:22" ht="58.5" customHeight="1" x14ac:dyDescent="0.3">
      <c r="F444" s="373"/>
      <c r="G444" s="373"/>
      <c r="H444" s="373"/>
      <c r="I444" s="373"/>
      <c r="J444" s="373"/>
      <c r="K444" s="374"/>
      <c r="L444" s="373"/>
      <c r="M444" s="373"/>
      <c r="N444" s="373"/>
      <c r="O444" s="373"/>
      <c r="P444" s="373"/>
      <c r="Q444" s="373"/>
      <c r="R444" s="373"/>
      <c r="S444" s="373"/>
      <c r="T444" s="373"/>
      <c r="U444" s="373"/>
      <c r="V444" s="373"/>
    </row>
    <row r="445" spans="6:22" ht="58.5" customHeight="1" x14ac:dyDescent="0.3">
      <c r="F445" s="373"/>
      <c r="G445" s="373"/>
      <c r="H445" s="373"/>
      <c r="I445" s="373"/>
      <c r="J445" s="373"/>
      <c r="K445" s="374"/>
      <c r="L445" s="373"/>
      <c r="M445" s="373"/>
      <c r="N445" s="373"/>
      <c r="O445" s="373"/>
      <c r="P445" s="373"/>
      <c r="Q445" s="373"/>
      <c r="R445" s="373"/>
      <c r="S445" s="373"/>
      <c r="T445" s="373"/>
      <c r="U445" s="373"/>
      <c r="V445" s="373"/>
    </row>
    <row r="446" spans="6:22" ht="58.5" customHeight="1" x14ac:dyDescent="0.3">
      <c r="F446" s="373"/>
      <c r="G446" s="373"/>
      <c r="H446" s="373"/>
      <c r="I446" s="373"/>
      <c r="J446" s="373"/>
      <c r="K446" s="374"/>
      <c r="L446" s="373"/>
      <c r="M446" s="373"/>
      <c r="N446" s="373"/>
      <c r="O446" s="373"/>
      <c r="P446" s="373"/>
      <c r="Q446" s="373"/>
      <c r="R446" s="373"/>
      <c r="S446" s="373"/>
      <c r="T446" s="373"/>
      <c r="U446" s="373"/>
      <c r="V446" s="373"/>
    </row>
    <row r="447" spans="6:22" ht="58.5" customHeight="1" x14ac:dyDescent="0.3">
      <c r="F447" s="373"/>
      <c r="G447" s="373"/>
      <c r="H447" s="373"/>
      <c r="I447" s="373"/>
      <c r="J447" s="373"/>
      <c r="K447" s="374"/>
      <c r="L447" s="373"/>
      <c r="M447" s="373"/>
      <c r="N447" s="373"/>
      <c r="O447" s="373"/>
      <c r="P447" s="373"/>
      <c r="Q447" s="373"/>
      <c r="R447" s="373"/>
      <c r="S447" s="373"/>
      <c r="T447" s="373"/>
      <c r="U447" s="373"/>
      <c r="V447" s="373"/>
    </row>
    <row r="448" spans="6:22" ht="58.5" customHeight="1" x14ac:dyDescent="0.3">
      <c r="F448" s="373"/>
      <c r="G448" s="373"/>
      <c r="H448" s="373"/>
      <c r="I448" s="373"/>
      <c r="J448" s="373"/>
      <c r="K448" s="374"/>
      <c r="L448" s="373"/>
      <c r="M448" s="373"/>
      <c r="N448" s="373"/>
      <c r="O448" s="373"/>
      <c r="P448" s="373"/>
      <c r="Q448" s="373"/>
      <c r="R448" s="373"/>
      <c r="S448" s="373"/>
      <c r="T448" s="373"/>
      <c r="U448" s="373"/>
      <c r="V448" s="373"/>
    </row>
    <row r="449" spans="6:22" ht="58.5" customHeight="1" x14ac:dyDescent="0.3">
      <c r="F449" s="373"/>
      <c r="G449" s="373"/>
      <c r="H449" s="373"/>
      <c r="I449" s="373"/>
      <c r="J449" s="373"/>
      <c r="K449" s="374"/>
      <c r="L449" s="373"/>
      <c r="M449" s="373"/>
      <c r="N449" s="373"/>
      <c r="O449" s="373"/>
      <c r="P449" s="373"/>
      <c r="Q449" s="373"/>
      <c r="R449" s="373"/>
      <c r="S449" s="373"/>
      <c r="T449" s="373"/>
      <c r="U449" s="373"/>
      <c r="V449" s="373"/>
    </row>
    <row r="450" spans="6:22" ht="58.5" customHeight="1" x14ac:dyDescent="0.3">
      <c r="F450" s="373"/>
      <c r="G450" s="373"/>
      <c r="H450" s="373"/>
      <c r="I450" s="373"/>
      <c r="J450" s="373"/>
      <c r="K450" s="374"/>
      <c r="L450" s="373"/>
      <c r="M450" s="373"/>
      <c r="N450" s="373"/>
      <c r="O450" s="373"/>
      <c r="P450" s="373"/>
      <c r="Q450" s="373"/>
      <c r="R450" s="373"/>
      <c r="S450" s="373"/>
      <c r="T450" s="373"/>
      <c r="U450" s="373"/>
      <c r="V450" s="373"/>
    </row>
    <row r="451" spans="6:22" ht="58.5" customHeight="1" x14ac:dyDescent="0.3">
      <c r="F451" s="373"/>
      <c r="G451" s="373"/>
      <c r="H451" s="373"/>
      <c r="I451" s="373"/>
      <c r="J451" s="373"/>
      <c r="K451" s="374"/>
      <c r="L451" s="373"/>
      <c r="M451" s="373"/>
      <c r="N451" s="373"/>
      <c r="O451" s="373"/>
      <c r="P451" s="373"/>
      <c r="Q451" s="373"/>
      <c r="R451" s="373"/>
      <c r="S451" s="373"/>
      <c r="T451" s="373"/>
      <c r="U451" s="373"/>
      <c r="V451" s="373"/>
    </row>
    <row r="452" spans="6:22" ht="58.5" customHeight="1" x14ac:dyDescent="0.3">
      <c r="F452" s="373"/>
      <c r="G452" s="373"/>
      <c r="H452" s="373"/>
      <c r="I452" s="373"/>
      <c r="J452" s="373"/>
      <c r="K452" s="374"/>
      <c r="L452" s="373"/>
      <c r="M452" s="373"/>
      <c r="N452" s="373"/>
      <c r="O452" s="373"/>
      <c r="P452" s="373"/>
      <c r="Q452" s="373"/>
      <c r="R452" s="373"/>
      <c r="S452" s="373"/>
      <c r="T452" s="373"/>
      <c r="U452" s="373"/>
      <c r="V452" s="373"/>
    </row>
    <row r="453" spans="6:22" ht="58.5" customHeight="1" x14ac:dyDescent="0.3">
      <c r="F453" s="373"/>
      <c r="G453" s="373"/>
      <c r="H453" s="373"/>
      <c r="I453" s="373"/>
      <c r="J453" s="373"/>
      <c r="K453" s="374"/>
      <c r="L453" s="373"/>
      <c r="M453" s="373"/>
      <c r="N453" s="373"/>
      <c r="O453" s="373"/>
      <c r="P453" s="373"/>
      <c r="Q453" s="373"/>
      <c r="R453" s="373"/>
      <c r="S453" s="373"/>
      <c r="T453" s="373"/>
      <c r="U453" s="373"/>
      <c r="V453" s="373"/>
    </row>
    <row r="454" spans="6:22" ht="58.5" customHeight="1" x14ac:dyDescent="0.3">
      <c r="F454" s="373"/>
      <c r="G454" s="373"/>
      <c r="H454" s="373"/>
      <c r="I454" s="373"/>
      <c r="J454" s="373"/>
      <c r="K454" s="374"/>
      <c r="L454" s="373"/>
      <c r="M454" s="373"/>
      <c r="N454" s="373"/>
      <c r="O454" s="373"/>
      <c r="P454" s="373"/>
      <c r="Q454" s="373"/>
      <c r="R454" s="373"/>
      <c r="S454" s="373"/>
      <c r="T454" s="373"/>
      <c r="U454" s="373"/>
      <c r="V454" s="373"/>
    </row>
    <row r="455" spans="6:22" ht="58.5" customHeight="1" x14ac:dyDescent="0.3">
      <c r="F455" s="373"/>
      <c r="G455" s="373"/>
      <c r="H455" s="373"/>
      <c r="I455" s="373"/>
      <c r="J455" s="373"/>
      <c r="K455" s="374"/>
      <c r="L455" s="373"/>
      <c r="M455" s="373"/>
      <c r="N455" s="373"/>
      <c r="O455" s="373"/>
      <c r="P455" s="373"/>
      <c r="Q455" s="373"/>
      <c r="R455" s="373"/>
      <c r="S455" s="373"/>
      <c r="T455" s="373"/>
      <c r="U455" s="373"/>
      <c r="V455" s="373"/>
    </row>
    <row r="456" spans="6:22" ht="58.5" customHeight="1" x14ac:dyDescent="0.3">
      <c r="F456" s="373"/>
      <c r="G456" s="373"/>
      <c r="H456" s="373"/>
      <c r="I456" s="373"/>
      <c r="J456" s="373"/>
      <c r="K456" s="374"/>
      <c r="L456" s="373"/>
      <c r="M456" s="373"/>
      <c r="N456" s="373"/>
      <c r="O456" s="373"/>
      <c r="P456" s="373"/>
      <c r="Q456" s="373"/>
      <c r="R456" s="373"/>
      <c r="S456" s="373"/>
      <c r="T456" s="373"/>
      <c r="U456" s="373"/>
      <c r="V456" s="373"/>
    </row>
    <row r="457" spans="6:22" ht="58.5" customHeight="1" x14ac:dyDescent="0.3">
      <c r="F457" s="373"/>
      <c r="G457" s="373"/>
      <c r="H457" s="373"/>
      <c r="I457" s="373"/>
      <c r="J457" s="373"/>
      <c r="K457" s="374"/>
      <c r="L457" s="373"/>
      <c r="M457" s="373"/>
      <c r="N457" s="373"/>
      <c r="O457" s="373"/>
      <c r="P457" s="373"/>
      <c r="Q457" s="373"/>
      <c r="R457" s="373"/>
      <c r="S457" s="373"/>
      <c r="T457" s="373"/>
      <c r="U457" s="373"/>
      <c r="V457" s="373"/>
    </row>
    <row r="458" spans="6:22" ht="58.5" customHeight="1" x14ac:dyDescent="0.3">
      <c r="F458" s="373"/>
      <c r="G458" s="373"/>
      <c r="H458" s="373"/>
      <c r="I458" s="373"/>
      <c r="J458" s="373"/>
      <c r="K458" s="374"/>
      <c r="L458" s="373"/>
      <c r="M458" s="373"/>
      <c r="N458" s="373"/>
      <c r="O458" s="373"/>
      <c r="P458" s="373"/>
      <c r="Q458" s="373"/>
      <c r="R458" s="373"/>
      <c r="S458" s="373"/>
      <c r="T458" s="373"/>
      <c r="U458" s="373"/>
      <c r="V458" s="373"/>
    </row>
    <row r="459" spans="6:22" ht="58.5" customHeight="1" x14ac:dyDescent="0.3">
      <c r="F459" s="373"/>
      <c r="G459" s="373"/>
      <c r="H459" s="373"/>
      <c r="I459" s="373"/>
      <c r="J459" s="373"/>
      <c r="K459" s="374"/>
      <c r="L459" s="373"/>
      <c r="M459" s="373"/>
      <c r="N459" s="373"/>
      <c r="O459" s="373"/>
      <c r="P459" s="373"/>
      <c r="Q459" s="373"/>
      <c r="R459" s="373"/>
      <c r="S459" s="373"/>
      <c r="T459" s="373"/>
      <c r="U459" s="373"/>
      <c r="V459" s="373"/>
    </row>
    <row r="460" spans="6:22" ht="58.5" customHeight="1" x14ac:dyDescent="0.3">
      <c r="F460" s="373"/>
      <c r="G460" s="373"/>
      <c r="H460" s="373"/>
      <c r="I460" s="373"/>
      <c r="J460" s="373"/>
      <c r="K460" s="374"/>
      <c r="L460" s="373"/>
      <c r="M460" s="373"/>
      <c r="N460" s="373"/>
      <c r="O460" s="373"/>
      <c r="P460" s="373"/>
      <c r="Q460" s="373"/>
      <c r="R460" s="373"/>
      <c r="S460" s="373"/>
      <c r="T460" s="373"/>
      <c r="U460" s="373"/>
      <c r="V460" s="373"/>
    </row>
    <row r="461" spans="6:22" ht="58.5" customHeight="1" x14ac:dyDescent="0.3">
      <c r="F461" s="373"/>
      <c r="G461" s="373"/>
      <c r="H461" s="373"/>
      <c r="I461" s="373"/>
      <c r="J461" s="373"/>
      <c r="K461" s="374"/>
      <c r="L461" s="373"/>
      <c r="M461" s="373"/>
      <c r="N461" s="373"/>
      <c r="O461" s="373"/>
      <c r="P461" s="373"/>
      <c r="Q461" s="373"/>
      <c r="R461" s="373"/>
      <c r="S461" s="373"/>
      <c r="T461" s="373"/>
      <c r="U461" s="373"/>
      <c r="V461" s="373"/>
    </row>
    <row r="462" spans="6:22" ht="58.5" customHeight="1" x14ac:dyDescent="0.3">
      <c r="F462" s="373"/>
      <c r="G462" s="373"/>
      <c r="H462" s="373"/>
      <c r="I462" s="373"/>
      <c r="J462" s="373"/>
      <c r="K462" s="374"/>
      <c r="L462" s="373"/>
      <c r="M462" s="373"/>
      <c r="N462" s="373"/>
      <c r="O462" s="373"/>
      <c r="P462" s="373"/>
      <c r="Q462" s="373"/>
      <c r="R462" s="373"/>
      <c r="S462" s="373"/>
      <c r="T462" s="373"/>
      <c r="U462" s="373"/>
      <c r="V462" s="373"/>
    </row>
    <row r="463" spans="6:22" ht="58.5" customHeight="1" x14ac:dyDescent="0.3">
      <c r="F463" s="373"/>
      <c r="G463" s="373"/>
      <c r="H463" s="373"/>
      <c r="I463" s="373"/>
      <c r="J463" s="373"/>
      <c r="K463" s="374"/>
      <c r="L463" s="373"/>
      <c r="M463" s="373"/>
      <c r="N463" s="373"/>
      <c r="O463" s="373"/>
      <c r="P463" s="373"/>
      <c r="Q463" s="373"/>
      <c r="R463" s="373"/>
      <c r="S463" s="373"/>
      <c r="T463" s="373"/>
      <c r="U463" s="373"/>
      <c r="V463" s="373"/>
    </row>
    <row r="464" spans="6:22" ht="58.5" customHeight="1" x14ac:dyDescent="0.3">
      <c r="F464" s="373"/>
      <c r="G464" s="373"/>
      <c r="H464" s="373"/>
      <c r="I464" s="373"/>
      <c r="J464" s="373"/>
      <c r="K464" s="374"/>
      <c r="L464" s="373"/>
      <c r="M464" s="373"/>
      <c r="N464" s="373"/>
      <c r="O464" s="373"/>
      <c r="P464" s="373"/>
      <c r="Q464" s="373"/>
      <c r="R464" s="373"/>
      <c r="S464" s="373"/>
      <c r="T464" s="373"/>
      <c r="U464" s="373"/>
      <c r="V464" s="373"/>
    </row>
    <row r="465" spans="6:22" ht="58.5" customHeight="1" x14ac:dyDescent="0.3">
      <c r="F465" s="373"/>
      <c r="G465" s="373"/>
      <c r="H465" s="373"/>
      <c r="I465" s="373"/>
      <c r="J465" s="373"/>
      <c r="K465" s="374"/>
      <c r="L465" s="373"/>
      <c r="M465" s="373"/>
      <c r="N465" s="373"/>
      <c r="O465" s="373"/>
      <c r="P465" s="373"/>
      <c r="Q465" s="373"/>
      <c r="R465" s="373"/>
      <c r="S465" s="373"/>
      <c r="T465" s="373"/>
      <c r="U465" s="373"/>
      <c r="V465" s="373"/>
    </row>
    <row r="466" spans="6:22" ht="58.5" customHeight="1" x14ac:dyDescent="0.3">
      <c r="F466" s="373"/>
      <c r="G466" s="373"/>
      <c r="H466" s="373"/>
      <c r="I466" s="373"/>
      <c r="J466" s="373"/>
      <c r="K466" s="374"/>
      <c r="L466" s="373"/>
      <c r="M466" s="373"/>
      <c r="N466" s="373"/>
      <c r="O466" s="373"/>
      <c r="P466" s="373"/>
      <c r="Q466" s="373"/>
      <c r="R466" s="373"/>
      <c r="S466" s="373"/>
      <c r="T466" s="373"/>
      <c r="U466" s="373"/>
      <c r="V466" s="373"/>
    </row>
    <row r="467" spans="6:22" ht="58.5" customHeight="1" x14ac:dyDescent="0.3">
      <c r="F467" s="373"/>
      <c r="G467" s="373"/>
      <c r="H467" s="373"/>
      <c r="I467" s="373"/>
      <c r="J467" s="373"/>
      <c r="K467" s="374"/>
      <c r="L467" s="373"/>
      <c r="M467" s="373"/>
      <c r="N467" s="373"/>
      <c r="O467" s="373"/>
      <c r="P467" s="373"/>
      <c r="Q467" s="373"/>
      <c r="R467" s="373"/>
      <c r="S467" s="373"/>
      <c r="T467" s="373"/>
      <c r="U467" s="373"/>
      <c r="V467" s="373"/>
    </row>
    <row r="468" spans="6:22" ht="58.5" customHeight="1" x14ac:dyDescent="0.3">
      <c r="F468" s="373"/>
      <c r="G468" s="373"/>
      <c r="H468" s="373"/>
      <c r="I468" s="373"/>
      <c r="J468" s="373"/>
      <c r="K468" s="374"/>
      <c r="L468" s="373"/>
      <c r="M468" s="373"/>
      <c r="N468" s="373"/>
      <c r="O468" s="373"/>
      <c r="P468" s="373"/>
      <c r="Q468" s="373"/>
      <c r="R468" s="373"/>
      <c r="S468" s="373"/>
      <c r="T468" s="373"/>
      <c r="U468" s="373"/>
      <c r="V468" s="373"/>
    </row>
    <row r="469" spans="6:22" ht="58.5" customHeight="1" x14ac:dyDescent="0.3">
      <c r="F469" s="373"/>
      <c r="G469" s="373"/>
      <c r="H469" s="373"/>
      <c r="I469" s="373"/>
      <c r="J469" s="373"/>
      <c r="K469" s="374"/>
      <c r="L469" s="373"/>
      <c r="M469" s="373"/>
      <c r="N469" s="373"/>
      <c r="O469" s="373"/>
      <c r="P469" s="373"/>
      <c r="Q469" s="373"/>
      <c r="R469" s="373"/>
      <c r="S469" s="373"/>
      <c r="T469" s="373"/>
      <c r="U469" s="373"/>
      <c r="V469" s="373"/>
    </row>
    <row r="470" spans="6:22" ht="58.5" customHeight="1" x14ac:dyDescent="0.3">
      <c r="F470" s="373"/>
      <c r="G470" s="373"/>
      <c r="H470" s="373"/>
      <c r="I470" s="373"/>
      <c r="J470" s="373"/>
      <c r="K470" s="374"/>
      <c r="L470" s="373"/>
      <c r="M470" s="373"/>
      <c r="N470" s="373"/>
      <c r="O470" s="373"/>
      <c r="P470" s="373"/>
      <c r="Q470" s="373"/>
      <c r="R470" s="373"/>
      <c r="S470" s="373"/>
      <c r="T470" s="373"/>
      <c r="U470" s="373"/>
      <c r="V470" s="373"/>
    </row>
    <row r="471" spans="6:22" ht="58.5" customHeight="1" x14ac:dyDescent="0.3">
      <c r="F471" s="373"/>
      <c r="G471" s="373"/>
      <c r="H471" s="373"/>
      <c r="I471" s="373"/>
      <c r="J471" s="373"/>
      <c r="K471" s="374"/>
      <c r="L471" s="373"/>
      <c r="M471" s="373"/>
      <c r="N471" s="373"/>
      <c r="O471" s="373"/>
      <c r="P471" s="373"/>
      <c r="Q471" s="373"/>
      <c r="R471" s="373"/>
      <c r="S471" s="373"/>
      <c r="T471" s="373"/>
      <c r="U471" s="373"/>
      <c r="V471" s="373"/>
    </row>
    <row r="472" spans="6:22" ht="58.5" customHeight="1" x14ac:dyDescent="0.3">
      <c r="F472" s="373"/>
      <c r="G472" s="373"/>
      <c r="H472" s="373"/>
      <c r="I472" s="373"/>
      <c r="J472" s="373"/>
      <c r="K472" s="374"/>
      <c r="L472" s="373"/>
      <c r="M472" s="373"/>
      <c r="N472" s="373"/>
      <c r="O472" s="373"/>
      <c r="P472" s="373"/>
      <c r="Q472" s="373"/>
      <c r="R472" s="373"/>
      <c r="S472" s="373"/>
      <c r="T472" s="373"/>
      <c r="U472" s="373"/>
      <c r="V472" s="373"/>
    </row>
    <row r="473" spans="6:22" ht="58.5" customHeight="1" x14ac:dyDescent="0.3">
      <c r="F473" s="373"/>
      <c r="G473" s="373"/>
      <c r="H473" s="373"/>
      <c r="I473" s="373"/>
      <c r="J473" s="373"/>
      <c r="K473" s="374"/>
      <c r="L473" s="373"/>
      <c r="M473" s="373"/>
      <c r="N473" s="373"/>
      <c r="O473" s="373"/>
      <c r="P473" s="373"/>
      <c r="Q473" s="373"/>
      <c r="R473" s="373"/>
      <c r="S473" s="373"/>
      <c r="T473" s="373"/>
      <c r="U473" s="373"/>
      <c r="V473" s="373"/>
    </row>
    <row r="474" spans="6:22" ht="58.5" customHeight="1" x14ac:dyDescent="0.3">
      <c r="F474" s="373"/>
      <c r="G474" s="373"/>
      <c r="H474" s="373"/>
      <c r="I474" s="373"/>
      <c r="J474" s="373"/>
      <c r="K474" s="374"/>
      <c r="L474" s="373"/>
      <c r="M474" s="373"/>
      <c r="N474" s="373"/>
      <c r="O474" s="373"/>
      <c r="P474" s="373"/>
      <c r="Q474" s="373"/>
      <c r="R474" s="373"/>
      <c r="S474" s="373"/>
      <c r="T474" s="373"/>
      <c r="U474" s="373"/>
      <c r="V474" s="373"/>
    </row>
    <row r="475" spans="6:22" ht="58.5" customHeight="1" x14ac:dyDescent="0.3">
      <c r="F475" s="373"/>
      <c r="G475" s="373"/>
      <c r="H475" s="373"/>
      <c r="I475" s="373"/>
      <c r="J475" s="373"/>
      <c r="K475" s="374"/>
      <c r="L475" s="373"/>
      <c r="M475" s="373"/>
      <c r="N475" s="373"/>
      <c r="O475" s="373"/>
      <c r="P475" s="373"/>
      <c r="Q475" s="373"/>
      <c r="R475" s="373"/>
      <c r="S475" s="373"/>
      <c r="T475" s="373"/>
      <c r="U475" s="373"/>
      <c r="V475" s="373"/>
    </row>
    <row r="476" spans="6:22" ht="58.5" customHeight="1" x14ac:dyDescent="0.3">
      <c r="F476" s="373"/>
      <c r="G476" s="373"/>
      <c r="H476" s="373"/>
      <c r="I476" s="373"/>
      <c r="J476" s="373"/>
      <c r="K476" s="374"/>
      <c r="L476" s="373"/>
      <c r="M476" s="373"/>
      <c r="N476" s="373"/>
      <c r="O476" s="373"/>
      <c r="P476" s="373"/>
      <c r="Q476" s="373"/>
      <c r="R476" s="373"/>
      <c r="S476" s="373"/>
      <c r="T476" s="373"/>
      <c r="U476" s="373"/>
      <c r="V476" s="373"/>
    </row>
    <row r="477" spans="6:22" ht="58.5" customHeight="1" x14ac:dyDescent="0.3">
      <c r="F477" s="373"/>
      <c r="G477" s="373"/>
      <c r="H477" s="373"/>
      <c r="I477" s="373"/>
      <c r="J477" s="373"/>
      <c r="K477" s="374"/>
      <c r="L477" s="373"/>
      <c r="M477" s="373"/>
      <c r="N477" s="373"/>
      <c r="O477" s="373"/>
      <c r="P477" s="373"/>
      <c r="Q477" s="373"/>
      <c r="R477" s="373"/>
      <c r="S477" s="373"/>
      <c r="T477" s="373"/>
      <c r="U477" s="373"/>
      <c r="V477" s="373"/>
    </row>
    <row r="478" spans="6:22" ht="58.5" customHeight="1" x14ac:dyDescent="0.3">
      <c r="F478" s="373"/>
      <c r="G478" s="373"/>
      <c r="H478" s="373"/>
      <c r="I478" s="373"/>
      <c r="J478" s="373"/>
      <c r="K478" s="374"/>
      <c r="L478" s="373"/>
      <c r="M478" s="373"/>
      <c r="N478" s="373"/>
      <c r="O478" s="373"/>
      <c r="P478" s="373"/>
      <c r="Q478" s="373"/>
      <c r="R478" s="373"/>
      <c r="S478" s="373"/>
      <c r="T478" s="373"/>
      <c r="U478" s="373"/>
      <c r="V478" s="373"/>
    </row>
    <row r="479" spans="6:22" ht="58.5" customHeight="1" x14ac:dyDescent="0.3">
      <c r="F479" s="373"/>
      <c r="G479" s="373"/>
      <c r="H479" s="373"/>
      <c r="I479" s="373"/>
      <c r="J479" s="373"/>
      <c r="K479" s="374"/>
      <c r="L479" s="373"/>
      <c r="M479" s="373"/>
      <c r="N479" s="373"/>
      <c r="O479" s="373"/>
      <c r="P479" s="373"/>
      <c r="Q479" s="373"/>
      <c r="R479" s="373"/>
      <c r="S479" s="373"/>
      <c r="T479" s="373"/>
      <c r="U479" s="373"/>
      <c r="V479" s="373"/>
    </row>
    <row r="480" spans="6:22" ht="58.5" customHeight="1" x14ac:dyDescent="0.3">
      <c r="F480" s="373"/>
      <c r="G480" s="373"/>
      <c r="H480" s="373"/>
      <c r="I480" s="373"/>
      <c r="J480" s="373"/>
      <c r="K480" s="374"/>
      <c r="L480" s="373"/>
      <c r="M480" s="373"/>
      <c r="N480" s="373"/>
      <c r="O480" s="373"/>
      <c r="P480" s="373"/>
      <c r="Q480" s="373"/>
      <c r="R480" s="373"/>
      <c r="S480" s="373"/>
      <c r="T480" s="373"/>
      <c r="U480" s="373"/>
      <c r="V480" s="373"/>
    </row>
    <row r="481" spans="6:22" ht="58.5" customHeight="1" x14ac:dyDescent="0.3">
      <c r="F481" s="373"/>
      <c r="G481" s="373"/>
      <c r="H481" s="373"/>
      <c r="I481" s="373"/>
      <c r="J481" s="373"/>
      <c r="K481" s="374"/>
      <c r="L481" s="373"/>
      <c r="M481" s="373"/>
      <c r="N481" s="373"/>
      <c r="O481" s="373"/>
      <c r="P481" s="373"/>
      <c r="Q481" s="373"/>
      <c r="R481" s="373"/>
      <c r="S481" s="373"/>
      <c r="T481" s="373"/>
      <c r="U481" s="373"/>
      <c r="V481" s="373"/>
    </row>
    <row r="482" spans="6:22" ht="58.5" customHeight="1" x14ac:dyDescent="0.3">
      <c r="F482" s="373"/>
      <c r="G482" s="373"/>
      <c r="H482" s="373"/>
      <c r="I482" s="373"/>
      <c r="J482" s="373"/>
      <c r="K482" s="374"/>
      <c r="L482" s="373"/>
      <c r="M482" s="373"/>
      <c r="N482" s="373"/>
      <c r="O482" s="373"/>
      <c r="P482" s="373"/>
      <c r="Q482" s="373"/>
      <c r="R482" s="373"/>
      <c r="S482" s="373"/>
      <c r="T482" s="373"/>
      <c r="U482" s="373"/>
      <c r="V482" s="373"/>
    </row>
    <row r="483" spans="6:22" ht="58.5" customHeight="1" x14ac:dyDescent="0.3">
      <c r="F483" s="373"/>
      <c r="G483" s="373"/>
      <c r="H483" s="373"/>
      <c r="I483" s="373"/>
      <c r="J483" s="373"/>
      <c r="K483" s="374"/>
      <c r="L483" s="373"/>
      <c r="M483" s="373"/>
      <c r="N483" s="373"/>
      <c r="O483" s="373"/>
      <c r="P483" s="373"/>
      <c r="Q483" s="373"/>
      <c r="R483" s="373"/>
      <c r="S483" s="373"/>
      <c r="T483" s="373"/>
      <c r="U483" s="373"/>
      <c r="V483" s="373"/>
    </row>
    <row r="484" spans="6:22" ht="58.5" customHeight="1" x14ac:dyDescent="0.3">
      <c r="F484" s="373"/>
      <c r="G484" s="373"/>
      <c r="H484" s="373"/>
      <c r="I484" s="373"/>
      <c r="J484" s="373"/>
      <c r="K484" s="374"/>
      <c r="L484" s="373"/>
      <c r="M484" s="373"/>
      <c r="N484" s="373"/>
      <c r="O484" s="373"/>
      <c r="P484" s="373"/>
      <c r="Q484" s="373"/>
      <c r="R484" s="373"/>
      <c r="S484" s="373"/>
      <c r="T484" s="373"/>
      <c r="U484" s="373"/>
      <c r="V484" s="373"/>
    </row>
    <row r="485" spans="6:22" ht="58.5" customHeight="1" x14ac:dyDescent="0.3">
      <c r="F485" s="373"/>
      <c r="G485" s="373"/>
      <c r="H485" s="373"/>
      <c r="I485" s="373"/>
      <c r="J485" s="373"/>
      <c r="K485" s="374"/>
      <c r="L485" s="373"/>
      <c r="M485" s="373"/>
      <c r="N485" s="373"/>
      <c r="O485" s="373"/>
      <c r="P485" s="373"/>
      <c r="Q485" s="373"/>
      <c r="R485" s="373"/>
      <c r="S485" s="373"/>
      <c r="T485" s="373"/>
      <c r="U485" s="373"/>
      <c r="V485" s="373"/>
    </row>
    <row r="486" spans="6:22" ht="58.5" customHeight="1" x14ac:dyDescent="0.3">
      <c r="F486" s="373"/>
      <c r="G486" s="373"/>
      <c r="H486" s="373"/>
      <c r="I486" s="373"/>
      <c r="J486" s="373"/>
      <c r="K486" s="374"/>
      <c r="L486" s="373"/>
      <c r="M486" s="373"/>
      <c r="N486" s="373"/>
      <c r="O486" s="373"/>
      <c r="P486" s="373"/>
      <c r="Q486" s="373"/>
      <c r="R486" s="373"/>
      <c r="S486" s="373"/>
      <c r="T486" s="373"/>
      <c r="U486" s="373"/>
      <c r="V486" s="373"/>
    </row>
    <row r="487" spans="6:22" ht="58.5" customHeight="1" x14ac:dyDescent="0.3">
      <c r="F487" s="373"/>
      <c r="G487" s="373"/>
      <c r="H487" s="373"/>
      <c r="I487" s="373"/>
      <c r="J487" s="373"/>
      <c r="K487" s="374"/>
      <c r="L487" s="373"/>
      <c r="M487" s="373"/>
      <c r="N487" s="373"/>
      <c r="O487" s="373"/>
      <c r="P487" s="373"/>
      <c r="Q487" s="373"/>
      <c r="R487" s="373"/>
      <c r="S487" s="373"/>
      <c r="T487" s="373"/>
      <c r="U487" s="373"/>
      <c r="V487" s="373"/>
    </row>
    <row r="488" spans="6:22" ht="58.5" customHeight="1" x14ac:dyDescent="0.3">
      <c r="F488" s="373"/>
      <c r="G488" s="373"/>
      <c r="H488" s="373"/>
      <c r="I488" s="373"/>
      <c r="J488" s="373"/>
      <c r="K488" s="374"/>
      <c r="L488" s="373"/>
      <c r="M488" s="373"/>
      <c r="N488" s="373"/>
      <c r="O488" s="373"/>
      <c r="P488" s="373"/>
      <c r="Q488" s="373"/>
      <c r="R488" s="373"/>
      <c r="S488" s="373"/>
      <c r="T488" s="373"/>
      <c r="U488" s="373"/>
      <c r="V488" s="373"/>
    </row>
    <row r="489" spans="6:22" ht="58.5" customHeight="1" x14ac:dyDescent="0.3">
      <c r="F489" s="373"/>
      <c r="G489" s="373"/>
      <c r="H489" s="373"/>
      <c r="I489" s="373"/>
      <c r="J489" s="373"/>
      <c r="K489" s="374"/>
      <c r="L489" s="373"/>
      <c r="M489" s="373"/>
      <c r="N489" s="373"/>
      <c r="O489" s="373"/>
      <c r="P489" s="373"/>
      <c r="Q489" s="373"/>
      <c r="R489" s="373"/>
      <c r="S489" s="373"/>
      <c r="T489" s="373"/>
      <c r="U489" s="373"/>
      <c r="V489" s="373"/>
    </row>
    <row r="490" spans="6:22" ht="58.5" customHeight="1" x14ac:dyDescent="0.3">
      <c r="F490" s="373"/>
      <c r="G490" s="373"/>
      <c r="H490" s="373"/>
      <c r="I490" s="373"/>
      <c r="J490" s="373"/>
      <c r="K490" s="374"/>
      <c r="L490" s="373"/>
      <c r="M490" s="373"/>
      <c r="N490" s="373"/>
      <c r="O490" s="373"/>
      <c r="P490" s="373"/>
      <c r="Q490" s="373"/>
      <c r="R490" s="373"/>
      <c r="S490" s="373"/>
      <c r="T490" s="373"/>
      <c r="U490" s="373"/>
      <c r="V490" s="373"/>
    </row>
    <row r="491" spans="6:22" ht="58.5" customHeight="1" x14ac:dyDescent="0.3">
      <c r="F491" s="373"/>
      <c r="G491" s="373"/>
      <c r="H491" s="373"/>
      <c r="I491" s="373"/>
      <c r="J491" s="373"/>
      <c r="K491" s="374"/>
      <c r="L491" s="373"/>
      <c r="M491" s="373"/>
      <c r="N491" s="373"/>
      <c r="O491" s="373"/>
      <c r="P491" s="373"/>
      <c r="Q491" s="373"/>
      <c r="R491" s="373"/>
      <c r="S491" s="373"/>
      <c r="T491" s="373"/>
      <c r="U491" s="373"/>
      <c r="V491" s="373"/>
    </row>
    <row r="492" spans="6:22" ht="58.5" customHeight="1" x14ac:dyDescent="0.3">
      <c r="F492" s="373"/>
      <c r="G492" s="373"/>
      <c r="H492" s="373"/>
      <c r="I492" s="373"/>
      <c r="J492" s="373"/>
      <c r="K492" s="374"/>
      <c r="L492" s="373"/>
      <c r="M492" s="373"/>
      <c r="N492" s="373"/>
      <c r="O492" s="373"/>
      <c r="P492" s="373"/>
      <c r="Q492" s="373"/>
      <c r="R492" s="373"/>
      <c r="S492" s="373"/>
      <c r="T492" s="373"/>
      <c r="U492" s="373"/>
      <c r="V492" s="373"/>
    </row>
    <row r="493" spans="6:22" ht="58.5" customHeight="1" x14ac:dyDescent="0.3">
      <c r="F493" s="373"/>
      <c r="G493" s="373"/>
      <c r="H493" s="373"/>
      <c r="I493" s="373"/>
      <c r="J493" s="373"/>
      <c r="K493" s="374"/>
      <c r="L493" s="373"/>
      <c r="M493" s="373"/>
      <c r="N493" s="373"/>
      <c r="O493" s="373"/>
      <c r="P493" s="373"/>
      <c r="Q493" s="373"/>
      <c r="R493" s="373"/>
      <c r="S493" s="373"/>
      <c r="T493" s="373"/>
      <c r="U493" s="373"/>
      <c r="V493" s="373"/>
    </row>
    <row r="494" spans="6:22" ht="58.5" customHeight="1" x14ac:dyDescent="0.3">
      <c r="F494" s="373"/>
      <c r="G494" s="373"/>
      <c r="H494" s="373"/>
      <c r="I494" s="373"/>
      <c r="J494" s="373"/>
      <c r="K494" s="374"/>
      <c r="L494" s="373"/>
      <c r="M494" s="373"/>
      <c r="N494" s="373"/>
      <c r="O494" s="373"/>
      <c r="P494" s="373"/>
      <c r="Q494" s="373"/>
      <c r="R494" s="373"/>
      <c r="S494" s="373"/>
      <c r="T494" s="373"/>
      <c r="U494" s="373"/>
      <c r="V494" s="373"/>
    </row>
    <row r="495" spans="6:22" ht="58.5" customHeight="1" x14ac:dyDescent="0.3">
      <c r="F495" s="373"/>
      <c r="G495" s="373"/>
      <c r="H495" s="373"/>
      <c r="I495" s="373"/>
      <c r="J495" s="373"/>
      <c r="K495" s="374"/>
      <c r="L495" s="373"/>
      <c r="M495" s="373"/>
      <c r="N495" s="373"/>
      <c r="O495" s="373"/>
      <c r="P495" s="373"/>
      <c r="Q495" s="373"/>
      <c r="R495" s="373"/>
      <c r="S495" s="373"/>
      <c r="T495" s="373"/>
      <c r="U495" s="373"/>
      <c r="V495" s="373"/>
    </row>
    <row r="496" spans="6:22" ht="58.5" customHeight="1" x14ac:dyDescent="0.3">
      <c r="F496" s="373"/>
      <c r="G496" s="373"/>
      <c r="H496" s="373"/>
      <c r="I496" s="373"/>
      <c r="J496" s="373"/>
      <c r="K496" s="374"/>
      <c r="L496" s="373"/>
      <c r="M496" s="373"/>
      <c r="N496" s="373"/>
      <c r="O496" s="373"/>
      <c r="P496" s="373"/>
      <c r="Q496" s="373"/>
      <c r="R496" s="373"/>
      <c r="S496" s="373"/>
      <c r="T496" s="373"/>
      <c r="U496" s="373"/>
      <c r="V496" s="373"/>
    </row>
    <row r="497" spans="6:22" ht="58.5" customHeight="1" x14ac:dyDescent="0.3">
      <c r="F497" s="373"/>
      <c r="G497" s="373"/>
      <c r="H497" s="373"/>
      <c r="I497" s="373"/>
      <c r="J497" s="373"/>
      <c r="K497" s="374"/>
      <c r="L497" s="373"/>
      <c r="M497" s="373"/>
      <c r="N497" s="373"/>
      <c r="O497" s="373"/>
      <c r="P497" s="373"/>
      <c r="Q497" s="373"/>
      <c r="R497" s="373"/>
      <c r="S497" s="373"/>
      <c r="T497" s="373"/>
      <c r="U497" s="373"/>
      <c r="V497" s="373"/>
    </row>
    <row r="498" spans="6:22" ht="58.5" customHeight="1" x14ac:dyDescent="0.3">
      <c r="F498" s="373"/>
      <c r="G498" s="373"/>
      <c r="H498" s="373"/>
      <c r="I498" s="373"/>
      <c r="J498" s="373"/>
      <c r="K498" s="374"/>
      <c r="L498" s="373"/>
      <c r="M498" s="373"/>
      <c r="N498" s="373"/>
      <c r="O498" s="373"/>
      <c r="P498" s="373"/>
      <c r="Q498" s="373"/>
      <c r="R498" s="373"/>
      <c r="S498" s="373"/>
      <c r="T498" s="373"/>
      <c r="U498" s="373"/>
      <c r="V498" s="373"/>
    </row>
    <row r="499" spans="6:22" ht="58.5" customHeight="1" x14ac:dyDescent="0.3">
      <c r="F499" s="373"/>
      <c r="G499" s="373"/>
      <c r="H499" s="373"/>
      <c r="I499" s="373"/>
      <c r="J499" s="373"/>
      <c r="K499" s="374"/>
      <c r="L499" s="373"/>
      <c r="M499" s="373"/>
      <c r="N499" s="373"/>
      <c r="O499" s="373"/>
      <c r="P499" s="373"/>
      <c r="Q499" s="373"/>
      <c r="R499" s="373"/>
      <c r="S499" s="373"/>
      <c r="T499" s="373"/>
      <c r="U499" s="373"/>
      <c r="V499" s="373"/>
    </row>
    <row r="500" spans="6:22" ht="58.5" customHeight="1" x14ac:dyDescent="0.3">
      <c r="F500" s="373"/>
      <c r="G500" s="373"/>
      <c r="H500" s="373"/>
      <c r="I500" s="373"/>
      <c r="J500" s="373"/>
      <c r="K500" s="374"/>
      <c r="L500" s="373"/>
      <c r="M500" s="373"/>
      <c r="N500" s="373"/>
      <c r="O500" s="373"/>
      <c r="P500" s="373"/>
      <c r="Q500" s="373"/>
      <c r="R500" s="373"/>
      <c r="S500" s="373"/>
      <c r="T500" s="373"/>
      <c r="U500" s="373"/>
      <c r="V500" s="373"/>
    </row>
    <row r="501" spans="6:22" ht="58.5" customHeight="1" x14ac:dyDescent="0.3">
      <c r="F501" s="373"/>
      <c r="G501" s="373"/>
      <c r="H501" s="373"/>
      <c r="I501" s="373"/>
      <c r="J501" s="373"/>
      <c r="K501" s="374"/>
      <c r="L501" s="373"/>
      <c r="M501" s="373"/>
      <c r="N501" s="373"/>
      <c r="O501" s="373"/>
      <c r="P501" s="373"/>
      <c r="Q501" s="373"/>
      <c r="R501" s="373"/>
      <c r="S501" s="373"/>
      <c r="T501" s="373"/>
      <c r="U501" s="373"/>
      <c r="V501" s="373"/>
    </row>
    <row r="502" spans="6:22" ht="58.5" customHeight="1" x14ac:dyDescent="0.3">
      <c r="F502" s="373"/>
      <c r="G502" s="373"/>
      <c r="H502" s="373"/>
      <c r="I502" s="373"/>
      <c r="J502" s="373"/>
      <c r="K502" s="374"/>
      <c r="L502" s="373"/>
      <c r="M502" s="373"/>
      <c r="N502" s="373"/>
      <c r="O502" s="373"/>
      <c r="P502" s="373"/>
      <c r="Q502" s="373"/>
      <c r="R502" s="373"/>
      <c r="S502" s="373"/>
      <c r="T502" s="373"/>
      <c r="U502" s="373"/>
      <c r="V502" s="373"/>
    </row>
    <row r="503" spans="6:22" ht="58.5" customHeight="1" x14ac:dyDescent="0.3">
      <c r="F503" s="373"/>
      <c r="G503" s="373"/>
      <c r="H503" s="373"/>
      <c r="I503" s="373"/>
      <c r="J503" s="373"/>
      <c r="K503" s="374"/>
      <c r="L503" s="373"/>
      <c r="M503" s="373"/>
      <c r="N503" s="373"/>
      <c r="O503" s="373"/>
      <c r="P503" s="373"/>
      <c r="Q503" s="373"/>
      <c r="R503" s="373"/>
      <c r="S503" s="373"/>
      <c r="T503" s="373"/>
      <c r="U503" s="373"/>
      <c r="V503" s="373"/>
    </row>
    <row r="504" spans="6:22" ht="58.5" customHeight="1" x14ac:dyDescent="0.3">
      <c r="F504" s="373"/>
      <c r="G504" s="373"/>
      <c r="H504" s="373"/>
      <c r="I504" s="373"/>
      <c r="J504" s="373"/>
      <c r="K504" s="374"/>
      <c r="L504" s="373"/>
      <c r="M504" s="373"/>
      <c r="N504" s="373"/>
      <c r="O504" s="373"/>
      <c r="P504" s="373"/>
      <c r="Q504" s="373"/>
      <c r="R504" s="373"/>
      <c r="S504" s="373"/>
      <c r="T504" s="373"/>
      <c r="U504" s="373"/>
      <c r="V504" s="373"/>
    </row>
    <row r="505" spans="6:22" ht="58.5" customHeight="1" x14ac:dyDescent="0.3">
      <c r="F505" s="373"/>
      <c r="G505" s="373"/>
      <c r="H505" s="373"/>
      <c r="I505" s="373"/>
      <c r="J505" s="373"/>
      <c r="K505" s="374"/>
      <c r="L505" s="373"/>
      <c r="M505" s="373"/>
      <c r="N505" s="373"/>
      <c r="O505" s="373"/>
      <c r="P505" s="373"/>
      <c r="Q505" s="373"/>
      <c r="R505" s="373"/>
      <c r="S505" s="373"/>
      <c r="T505" s="373"/>
      <c r="U505" s="373"/>
      <c r="V505" s="373"/>
    </row>
    <row r="506" spans="6:22" ht="58.5" customHeight="1" x14ac:dyDescent="0.3">
      <c r="F506" s="373"/>
      <c r="G506" s="373"/>
      <c r="H506" s="373"/>
      <c r="I506" s="373"/>
      <c r="J506" s="373"/>
      <c r="K506" s="374"/>
      <c r="L506" s="373"/>
      <c r="M506" s="373"/>
      <c r="N506" s="373"/>
      <c r="O506" s="373"/>
      <c r="P506" s="373"/>
      <c r="Q506" s="373"/>
      <c r="R506" s="373"/>
      <c r="S506" s="373"/>
      <c r="T506" s="373"/>
      <c r="U506" s="373"/>
      <c r="V506" s="373"/>
    </row>
    <row r="507" spans="6:22" ht="58.5" customHeight="1" x14ac:dyDescent="0.3">
      <c r="F507" s="373"/>
      <c r="G507" s="373"/>
      <c r="H507" s="373"/>
      <c r="I507" s="373"/>
      <c r="J507" s="373"/>
      <c r="K507" s="374"/>
      <c r="L507" s="373"/>
      <c r="M507" s="373"/>
      <c r="N507" s="373"/>
      <c r="O507" s="373"/>
      <c r="P507" s="373"/>
      <c r="Q507" s="373"/>
      <c r="R507" s="373"/>
      <c r="S507" s="373"/>
      <c r="T507" s="373"/>
      <c r="U507" s="373"/>
      <c r="V507" s="373"/>
    </row>
    <row r="508" spans="6:22" ht="58.5" customHeight="1" x14ac:dyDescent="0.3">
      <c r="F508" s="373"/>
      <c r="G508" s="373"/>
      <c r="H508" s="373"/>
      <c r="I508" s="373"/>
      <c r="J508" s="373"/>
      <c r="K508" s="374"/>
      <c r="L508" s="373"/>
      <c r="M508" s="373"/>
      <c r="N508" s="373"/>
      <c r="O508" s="373"/>
      <c r="P508" s="373"/>
      <c r="Q508" s="373"/>
      <c r="R508" s="373"/>
      <c r="S508" s="373"/>
      <c r="T508" s="373"/>
      <c r="U508" s="373"/>
      <c r="V508" s="373"/>
    </row>
    <row r="509" spans="6:22" ht="58.5" customHeight="1" x14ac:dyDescent="0.3">
      <c r="F509" s="373"/>
      <c r="G509" s="373"/>
      <c r="H509" s="373"/>
      <c r="I509" s="373"/>
      <c r="J509" s="373"/>
      <c r="K509" s="374"/>
      <c r="L509" s="373"/>
      <c r="M509" s="373"/>
      <c r="N509" s="373"/>
      <c r="O509" s="373"/>
      <c r="P509" s="373"/>
      <c r="Q509" s="373"/>
      <c r="R509" s="373"/>
      <c r="S509" s="373"/>
      <c r="T509" s="373"/>
      <c r="U509" s="373"/>
      <c r="V509" s="373"/>
    </row>
    <row r="510" spans="6:22" ht="58.5" customHeight="1" x14ac:dyDescent="0.3">
      <c r="F510" s="373"/>
      <c r="G510" s="373"/>
      <c r="H510" s="373"/>
      <c r="I510" s="373"/>
      <c r="J510" s="373"/>
      <c r="K510" s="374"/>
      <c r="L510" s="373"/>
      <c r="M510" s="373"/>
      <c r="N510" s="373"/>
      <c r="O510" s="373"/>
      <c r="P510" s="373"/>
      <c r="Q510" s="373"/>
      <c r="R510" s="373"/>
      <c r="S510" s="373"/>
      <c r="T510" s="373"/>
      <c r="U510" s="373"/>
      <c r="V510" s="373"/>
    </row>
    <row r="511" spans="6:22" ht="58.5" customHeight="1" x14ac:dyDescent="0.3">
      <c r="F511" s="373"/>
      <c r="G511" s="373"/>
      <c r="H511" s="373"/>
      <c r="I511" s="373"/>
      <c r="J511" s="373"/>
      <c r="K511" s="374"/>
      <c r="L511" s="373"/>
      <c r="M511" s="373"/>
      <c r="N511" s="373"/>
      <c r="O511" s="373"/>
      <c r="P511" s="373"/>
      <c r="Q511" s="373"/>
      <c r="R511" s="373"/>
      <c r="S511" s="373"/>
      <c r="T511" s="373"/>
      <c r="U511" s="373"/>
      <c r="V511" s="373"/>
    </row>
    <row r="512" spans="6:22" ht="58.5" customHeight="1" x14ac:dyDescent="0.3">
      <c r="F512" s="373"/>
      <c r="G512" s="373"/>
      <c r="H512" s="373"/>
      <c r="I512" s="373"/>
      <c r="J512" s="373"/>
      <c r="K512" s="374"/>
      <c r="L512" s="373"/>
      <c r="M512" s="373"/>
      <c r="N512" s="373"/>
      <c r="O512" s="373"/>
      <c r="P512" s="373"/>
      <c r="Q512" s="373"/>
      <c r="R512" s="373"/>
      <c r="S512" s="373"/>
      <c r="T512" s="373"/>
      <c r="U512" s="373"/>
      <c r="V512" s="373"/>
    </row>
    <row r="513" spans="6:22" ht="58.5" customHeight="1" x14ac:dyDescent="0.3">
      <c r="F513" s="373"/>
      <c r="G513" s="373"/>
      <c r="H513" s="373"/>
      <c r="I513" s="373"/>
      <c r="J513" s="373"/>
      <c r="K513" s="374"/>
      <c r="L513" s="373"/>
      <c r="M513" s="373"/>
      <c r="N513" s="373"/>
      <c r="O513" s="373"/>
      <c r="P513" s="373"/>
      <c r="Q513" s="373"/>
      <c r="R513" s="373"/>
      <c r="S513" s="373"/>
      <c r="T513" s="373"/>
      <c r="U513" s="373"/>
      <c r="V513" s="373"/>
    </row>
    <row r="514" spans="6:22" ht="58.5" customHeight="1" x14ac:dyDescent="0.3">
      <c r="F514" s="373"/>
      <c r="G514" s="373"/>
      <c r="H514" s="373"/>
      <c r="I514" s="373"/>
      <c r="J514" s="373"/>
      <c r="K514" s="374"/>
      <c r="L514" s="373"/>
      <c r="M514" s="373"/>
      <c r="N514" s="373"/>
      <c r="O514" s="373"/>
      <c r="P514" s="373"/>
      <c r="Q514" s="373"/>
      <c r="R514" s="373"/>
      <c r="S514" s="373"/>
      <c r="T514" s="373"/>
      <c r="U514" s="373"/>
      <c r="V514" s="373"/>
    </row>
    <row r="515" spans="6:22" ht="58.5" customHeight="1" x14ac:dyDescent="0.3">
      <c r="F515" s="373"/>
      <c r="G515" s="373"/>
      <c r="H515" s="373"/>
      <c r="I515" s="373"/>
      <c r="J515" s="373"/>
      <c r="K515" s="374"/>
      <c r="L515" s="373"/>
      <c r="M515" s="373"/>
      <c r="N515" s="373"/>
      <c r="O515" s="373"/>
      <c r="P515" s="373"/>
      <c r="Q515" s="373"/>
      <c r="R515" s="373"/>
      <c r="S515" s="373"/>
      <c r="T515" s="373"/>
      <c r="U515" s="373"/>
      <c r="V515" s="373"/>
    </row>
    <row r="516" spans="6:22" ht="58.5" customHeight="1" x14ac:dyDescent="0.3">
      <c r="F516" s="373"/>
      <c r="G516" s="373"/>
      <c r="H516" s="373"/>
      <c r="I516" s="373"/>
      <c r="J516" s="373"/>
      <c r="K516" s="374"/>
      <c r="L516" s="373"/>
      <c r="M516" s="373"/>
      <c r="N516" s="373"/>
      <c r="O516" s="373"/>
      <c r="P516" s="373"/>
      <c r="Q516" s="373"/>
      <c r="R516" s="373"/>
      <c r="S516" s="373"/>
      <c r="T516" s="373"/>
      <c r="U516" s="373"/>
      <c r="V516" s="373"/>
    </row>
    <row r="517" spans="6:22" ht="58.5" customHeight="1" x14ac:dyDescent="0.3">
      <c r="F517" s="373"/>
      <c r="G517" s="373"/>
      <c r="H517" s="373"/>
      <c r="I517" s="373"/>
      <c r="J517" s="373"/>
      <c r="K517" s="374"/>
      <c r="L517" s="373"/>
      <c r="M517" s="373"/>
      <c r="N517" s="373"/>
      <c r="O517" s="373"/>
      <c r="P517" s="373"/>
      <c r="Q517" s="373"/>
      <c r="R517" s="373"/>
      <c r="S517" s="373"/>
      <c r="T517" s="373"/>
      <c r="U517" s="373"/>
      <c r="V517" s="373"/>
    </row>
    <row r="518" spans="6:22" ht="58.5" customHeight="1" x14ac:dyDescent="0.3">
      <c r="F518" s="373"/>
      <c r="G518" s="373"/>
      <c r="H518" s="373"/>
      <c r="I518" s="373"/>
      <c r="J518" s="373"/>
      <c r="K518" s="374"/>
      <c r="L518" s="373"/>
      <c r="M518" s="373"/>
      <c r="N518" s="373"/>
      <c r="O518" s="373"/>
      <c r="P518" s="373"/>
      <c r="Q518" s="373"/>
      <c r="R518" s="373"/>
      <c r="S518" s="373"/>
      <c r="T518" s="373"/>
      <c r="U518" s="373"/>
      <c r="V518" s="373"/>
    </row>
    <row r="519" spans="6:22" ht="58.5" customHeight="1" x14ac:dyDescent="0.3">
      <c r="F519" s="373"/>
      <c r="G519" s="373"/>
      <c r="H519" s="373"/>
      <c r="I519" s="373"/>
      <c r="J519" s="373"/>
      <c r="K519" s="374"/>
      <c r="L519" s="373"/>
      <c r="M519" s="373"/>
      <c r="N519" s="373"/>
      <c r="O519" s="373"/>
      <c r="P519" s="373"/>
      <c r="Q519" s="373"/>
      <c r="R519" s="373"/>
      <c r="S519" s="373"/>
      <c r="T519" s="373"/>
      <c r="U519" s="373"/>
      <c r="V519" s="373"/>
    </row>
    <row r="520" spans="6:22" ht="58.5" customHeight="1" x14ac:dyDescent="0.3">
      <c r="F520" s="373"/>
      <c r="G520" s="373"/>
      <c r="H520" s="373"/>
      <c r="I520" s="373"/>
      <c r="J520" s="373"/>
      <c r="K520" s="374"/>
      <c r="L520" s="373"/>
      <c r="M520" s="373"/>
      <c r="N520" s="373"/>
      <c r="O520" s="373"/>
      <c r="P520" s="373"/>
      <c r="Q520" s="373"/>
      <c r="R520" s="373"/>
      <c r="S520" s="373"/>
      <c r="T520" s="373"/>
      <c r="U520" s="373"/>
      <c r="V520" s="373"/>
    </row>
    <row r="521" spans="6:22" ht="58.5" customHeight="1" x14ac:dyDescent="0.3">
      <c r="F521" s="373"/>
      <c r="G521" s="373"/>
      <c r="H521" s="373"/>
      <c r="I521" s="373"/>
      <c r="J521" s="373"/>
      <c r="K521" s="374"/>
      <c r="L521" s="373"/>
      <c r="M521" s="373"/>
      <c r="N521" s="373"/>
      <c r="O521" s="373"/>
      <c r="P521" s="373"/>
      <c r="Q521" s="373"/>
      <c r="R521" s="373"/>
      <c r="S521" s="373"/>
      <c r="T521" s="373"/>
      <c r="U521" s="373"/>
      <c r="V521" s="373"/>
    </row>
    <row r="522" spans="6:22" ht="58.5" customHeight="1" x14ac:dyDescent="0.3">
      <c r="F522" s="373"/>
      <c r="G522" s="373"/>
      <c r="H522" s="373"/>
      <c r="I522" s="373"/>
      <c r="J522" s="373"/>
      <c r="K522" s="374"/>
      <c r="L522" s="373"/>
      <c r="M522" s="373"/>
      <c r="N522" s="373"/>
      <c r="O522" s="373"/>
      <c r="P522" s="373"/>
      <c r="Q522" s="373"/>
      <c r="R522" s="373"/>
      <c r="S522" s="373"/>
      <c r="T522" s="373"/>
      <c r="U522" s="373"/>
      <c r="V522" s="373"/>
    </row>
    <row r="523" spans="6:22" ht="58.5" customHeight="1" x14ac:dyDescent="0.3">
      <c r="F523" s="373"/>
      <c r="G523" s="373"/>
      <c r="H523" s="373"/>
      <c r="I523" s="373"/>
      <c r="J523" s="373"/>
      <c r="K523" s="374"/>
      <c r="L523" s="373"/>
      <c r="M523" s="373"/>
      <c r="N523" s="373"/>
      <c r="O523" s="373"/>
      <c r="P523" s="373"/>
      <c r="Q523" s="373"/>
      <c r="R523" s="373"/>
      <c r="S523" s="373"/>
      <c r="T523" s="373"/>
      <c r="U523" s="373"/>
      <c r="V523" s="373"/>
    </row>
    <row r="524" spans="6:22" ht="58.5" customHeight="1" x14ac:dyDescent="0.3">
      <c r="F524" s="373"/>
      <c r="G524" s="373"/>
      <c r="H524" s="373"/>
      <c r="I524" s="373"/>
      <c r="J524" s="373"/>
      <c r="K524" s="374"/>
      <c r="L524" s="373"/>
      <c r="M524" s="373"/>
      <c r="N524" s="373"/>
      <c r="O524" s="373"/>
      <c r="P524" s="373"/>
      <c r="Q524" s="373"/>
      <c r="R524" s="373"/>
      <c r="S524" s="373"/>
      <c r="T524" s="373"/>
      <c r="U524" s="373"/>
      <c r="V524" s="373"/>
    </row>
    <row r="525" spans="6:22" ht="58.5" customHeight="1" x14ac:dyDescent="0.3">
      <c r="F525" s="373"/>
      <c r="G525" s="373"/>
      <c r="H525" s="373"/>
      <c r="I525" s="373"/>
      <c r="J525" s="373"/>
      <c r="K525" s="374"/>
      <c r="L525" s="373"/>
      <c r="M525" s="373"/>
      <c r="N525" s="373"/>
      <c r="O525" s="373"/>
      <c r="P525" s="373"/>
      <c r="Q525" s="373"/>
      <c r="R525" s="373"/>
      <c r="S525" s="373"/>
      <c r="T525" s="373"/>
      <c r="U525" s="373"/>
      <c r="V525" s="373"/>
    </row>
    <row r="526" spans="6:22" ht="58.5" customHeight="1" x14ac:dyDescent="0.3">
      <c r="F526" s="373"/>
      <c r="G526" s="373"/>
      <c r="H526" s="373"/>
      <c r="I526" s="373"/>
      <c r="J526" s="373"/>
      <c r="K526" s="374"/>
      <c r="L526" s="373"/>
      <c r="M526" s="373"/>
      <c r="N526" s="373"/>
      <c r="O526" s="373"/>
      <c r="P526" s="373"/>
      <c r="Q526" s="373"/>
      <c r="R526" s="373"/>
      <c r="S526" s="373"/>
      <c r="T526" s="373"/>
      <c r="U526" s="373"/>
      <c r="V526" s="373"/>
    </row>
    <row r="527" spans="6:22" ht="58.5" customHeight="1" x14ac:dyDescent="0.3">
      <c r="F527" s="373"/>
      <c r="G527" s="373"/>
      <c r="H527" s="373"/>
      <c r="I527" s="373"/>
      <c r="J527" s="373"/>
      <c r="K527" s="374"/>
      <c r="L527" s="373"/>
      <c r="M527" s="373"/>
      <c r="N527" s="373"/>
      <c r="O527" s="373"/>
      <c r="P527" s="373"/>
      <c r="Q527" s="373"/>
      <c r="R527" s="373"/>
      <c r="S527" s="373"/>
      <c r="T527" s="373"/>
      <c r="U527" s="373"/>
      <c r="V527" s="373"/>
    </row>
    <row r="528" spans="6:22" ht="58.5" customHeight="1" x14ac:dyDescent="0.3">
      <c r="F528" s="373"/>
      <c r="G528" s="373"/>
      <c r="H528" s="373"/>
      <c r="I528" s="373"/>
      <c r="J528" s="373"/>
      <c r="K528" s="374"/>
      <c r="L528" s="373"/>
      <c r="M528" s="373"/>
      <c r="N528" s="373"/>
      <c r="O528" s="373"/>
      <c r="P528" s="373"/>
      <c r="Q528" s="373"/>
      <c r="R528" s="373"/>
      <c r="S528" s="373"/>
      <c r="T528" s="373"/>
      <c r="U528" s="373"/>
      <c r="V528" s="373"/>
    </row>
    <row r="529" spans="6:22" ht="58.5" customHeight="1" x14ac:dyDescent="0.3">
      <c r="F529" s="373"/>
      <c r="G529" s="373"/>
      <c r="H529" s="373"/>
      <c r="I529" s="373"/>
      <c r="J529" s="373"/>
      <c r="K529" s="374"/>
      <c r="L529" s="373"/>
      <c r="M529" s="373"/>
      <c r="N529" s="373"/>
      <c r="O529" s="373"/>
      <c r="P529" s="373"/>
      <c r="Q529" s="373"/>
      <c r="R529" s="373"/>
      <c r="S529" s="373"/>
      <c r="T529" s="373"/>
      <c r="U529" s="373"/>
      <c r="V529" s="373"/>
    </row>
    <row r="530" spans="6:22" ht="58.5" customHeight="1" x14ac:dyDescent="0.3">
      <c r="F530" s="373"/>
      <c r="G530" s="373"/>
      <c r="H530" s="373"/>
      <c r="I530" s="373"/>
      <c r="J530" s="373"/>
      <c r="K530" s="374"/>
      <c r="L530" s="373"/>
      <c r="M530" s="373"/>
      <c r="N530" s="373"/>
      <c r="O530" s="373"/>
      <c r="P530" s="373"/>
      <c r="Q530" s="373"/>
      <c r="R530" s="373"/>
      <c r="S530" s="373"/>
      <c r="T530" s="373"/>
      <c r="U530" s="373"/>
      <c r="V530" s="373"/>
    </row>
    <row r="531" spans="6:22" ht="58.5" customHeight="1" x14ac:dyDescent="0.3">
      <c r="F531" s="373"/>
      <c r="G531" s="373"/>
      <c r="H531" s="373"/>
      <c r="I531" s="373"/>
      <c r="J531" s="373"/>
      <c r="K531" s="374"/>
      <c r="L531" s="373"/>
      <c r="M531" s="373"/>
      <c r="N531" s="373"/>
      <c r="O531" s="373"/>
      <c r="P531" s="373"/>
      <c r="Q531" s="373"/>
      <c r="R531" s="373"/>
      <c r="S531" s="373"/>
      <c r="T531" s="373"/>
      <c r="U531" s="373"/>
      <c r="V531" s="373"/>
    </row>
    <row r="532" spans="6:22" ht="58.5" customHeight="1" x14ac:dyDescent="0.3">
      <c r="F532" s="373"/>
      <c r="G532" s="373"/>
      <c r="H532" s="373"/>
      <c r="I532" s="373"/>
      <c r="J532" s="373"/>
      <c r="K532" s="374"/>
      <c r="L532" s="373"/>
      <c r="M532" s="373"/>
      <c r="N532" s="373"/>
      <c r="O532" s="373"/>
      <c r="P532" s="373"/>
      <c r="Q532" s="373"/>
      <c r="R532" s="373"/>
      <c r="S532" s="373"/>
      <c r="T532" s="373"/>
      <c r="U532" s="373"/>
      <c r="V532" s="373"/>
    </row>
    <row r="533" spans="6:22" ht="58.5" customHeight="1" x14ac:dyDescent="0.3">
      <c r="F533" s="373"/>
      <c r="G533" s="373"/>
      <c r="H533" s="373"/>
      <c r="I533" s="373"/>
      <c r="J533" s="373"/>
      <c r="K533" s="374"/>
      <c r="L533" s="373"/>
      <c r="M533" s="373"/>
      <c r="N533" s="373"/>
      <c r="O533" s="373"/>
      <c r="P533" s="373"/>
      <c r="Q533" s="373"/>
      <c r="R533" s="373"/>
      <c r="S533" s="373"/>
      <c r="T533" s="373"/>
      <c r="U533" s="373"/>
      <c r="V533" s="373"/>
    </row>
    <row r="534" spans="6:22" ht="58.5" customHeight="1" x14ac:dyDescent="0.3">
      <c r="F534" s="373"/>
      <c r="G534" s="373"/>
      <c r="H534" s="373"/>
      <c r="I534" s="373"/>
      <c r="J534" s="373"/>
      <c r="K534" s="374"/>
      <c r="L534" s="373"/>
      <c r="M534" s="373"/>
      <c r="N534" s="373"/>
      <c r="O534" s="373"/>
      <c r="P534" s="373"/>
      <c r="Q534" s="373"/>
      <c r="R534" s="373"/>
      <c r="S534" s="373"/>
      <c r="T534" s="373"/>
      <c r="U534" s="373"/>
      <c r="V534" s="373"/>
    </row>
    <row r="535" spans="6:22" ht="58.5" customHeight="1" x14ac:dyDescent="0.3">
      <c r="F535" s="373"/>
      <c r="G535" s="373"/>
      <c r="H535" s="373"/>
      <c r="I535" s="373"/>
      <c r="J535" s="373"/>
      <c r="K535" s="374"/>
      <c r="L535" s="373"/>
      <c r="M535" s="373"/>
      <c r="N535" s="373"/>
      <c r="O535" s="373"/>
      <c r="P535" s="373"/>
      <c r="Q535" s="373"/>
      <c r="R535" s="373"/>
      <c r="S535" s="373"/>
      <c r="T535" s="373"/>
      <c r="U535" s="373"/>
      <c r="V535" s="373"/>
    </row>
    <row r="536" spans="6:22" ht="58.5" customHeight="1" x14ac:dyDescent="0.3">
      <c r="F536" s="373"/>
      <c r="G536" s="373"/>
      <c r="H536" s="373"/>
      <c r="I536" s="373"/>
      <c r="J536" s="373"/>
      <c r="K536" s="374"/>
      <c r="L536" s="373"/>
      <c r="M536" s="373"/>
      <c r="N536" s="373"/>
      <c r="O536" s="373"/>
      <c r="P536" s="373"/>
      <c r="Q536" s="373"/>
      <c r="R536" s="373"/>
      <c r="S536" s="373"/>
      <c r="T536" s="373"/>
      <c r="U536" s="373"/>
      <c r="V536" s="373"/>
    </row>
    <row r="537" spans="6:22" ht="58.5" customHeight="1" x14ac:dyDescent="0.3">
      <c r="F537" s="373"/>
      <c r="G537" s="373"/>
      <c r="H537" s="373"/>
      <c r="I537" s="373"/>
      <c r="J537" s="373"/>
      <c r="K537" s="374"/>
      <c r="L537" s="373"/>
      <c r="M537" s="373"/>
      <c r="N537" s="373"/>
      <c r="O537" s="373"/>
      <c r="P537" s="373"/>
      <c r="Q537" s="373"/>
      <c r="R537" s="373"/>
      <c r="S537" s="373"/>
      <c r="T537" s="373"/>
      <c r="U537" s="373"/>
      <c r="V537" s="373"/>
    </row>
    <row r="538" spans="6:22" ht="58.5" customHeight="1" x14ac:dyDescent="0.3">
      <c r="F538" s="373"/>
      <c r="G538" s="373"/>
      <c r="H538" s="373"/>
      <c r="I538" s="373"/>
      <c r="J538" s="373"/>
      <c r="K538" s="374"/>
      <c r="L538" s="373"/>
      <c r="M538" s="373"/>
      <c r="N538" s="373"/>
      <c r="O538" s="373"/>
      <c r="P538" s="373"/>
      <c r="Q538" s="373"/>
      <c r="R538" s="373"/>
      <c r="S538" s="373"/>
      <c r="T538" s="373"/>
      <c r="U538" s="373"/>
      <c r="V538" s="373"/>
    </row>
    <row r="539" spans="6:22" ht="58.5" customHeight="1" x14ac:dyDescent="0.3">
      <c r="F539" s="373"/>
      <c r="G539" s="373"/>
      <c r="H539" s="373"/>
      <c r="I539" s="373"/>
      <c r="J539" s="373"/>
      <c r="K539" s="374"/>
      <c r="L539" s="373"/>
      <c r="M539" s="373"/>
      <c r="N539" s="373"/>
      <c r="O539" s="373"/>
      <c r="P539" s="373"/>
      <c r="Q539" s="373"/>
      <c r="R539" s="373"/>
      <c r="S539" s="373"/>
      <c r="T539" s="373"/>
      <c r="U539" s="373"/>
      <c r="V539" s="373"/>
    </row>
    <row r="540" spans="6:22" ht="58.5" customHeight="1" x14ac:dyDescent="0.3">
      <c r="F540" s="373"/>
      <c r="G540" s="373"/>
      <c r="H540" s="373"/>
      <c r="I540" s="373"/>
      <c r="J540" s="373"/>
      <c r="K540" s="374"/>
      <c r="L540" s="373"/>
      <c r="M540" s="373"/>
      <c r="N540" s="373"/>
      <c r="O540" s="373"/>
      <c r="P540" s="373"/>
      <c r="Q540" s="373"/>
      <c r="R540" s="373"/>
      <c r="S540" s="373"/>
      <c r="T540" s="373"/>
      <c r="U540" s="373"/>
      <c r="V540" s="373"/>
    </row>
    <row r="541" spans="6:22" ht="58.5" customHeight="1" x14ac:dyDescent="0.3">
      <c r="F541" s="373"/>
      <c r="G541" s="373"/>
      <c r="H541" s="373"/>
      <c r="I541" s="373"/>
      <c r="J541" s="373"/>
      <c r="K541" s="374"/>
      <c r="L541" s="373"/>
      <c r="M541" s="373"/>
      <c r="N541" s="373"/>
      <c r="O541" s="373"/>
      <c r="P541" s="373"/>
      <c r="Q541" s="373"/>
      <c r="R541" s="373"/>
      <c r="S541" s="373"/>
      <c r="T541" s="373"/>
      <c r="U541" s="373"/>
      <c r="V541" s="373"/>
    </row>
    <row r="542" spans="6:22" ht="58.5" customHeight="1" x14ac:dyDescent="0.3">
      <c r="F542" s="373"/>
      <c r="G542" s="373"/>
      <c r="H542" s="373"/>
      <c r="I542" s="373"/>
      <c r="J542" s="373"/>
      <c r="K542" s="374"/>
      <c r="L542" s="373"/>
      <c r="M542" s="373"/>
      <c r="N542" s="373"/>
      <c r="O542" s="373"/>
      <c r="P542" s="373"/>
      <c r="Q542" s="373"/>
      <c r="R542" s="373"/>
      <c r="S542" s="373"/>
      <c r="T542" s="373"/>
      <c r="U542" s="373"/>
      <c r="V542" s="373"/>
    </row>
    <row r="543" spans="6:22" ht="58.5" customHeight="1" x14ac:dyDescent="0.3">
      <c r="F543" s="373"/>
      <c r="G543" s="373"/>
      <c r="H543" s="373"/>
      <c r="I543" s="373"/>
      <c r="J543" s="373"/>
      <c r="K543" s="374"/>
      <c r="L543" s="373"/>
      <c r="M543" s="373"/>
      <c r="N543" s="373"/>
      <c r="O543" s="373"/>
      <c r="P543" s="373"/>
      <c r="Q543" s="373"/>
      <c r="R543" s="373"/>
      <c r="S543" s="373"/>
      <c r="T543" s="373"/>
      <c r="U543" s="373"/>
      <c r="V543" s="373"/>
    </row>
    <row r="544" spans="6:22" ht="58.5" customHeight="1" x14ac:dyDescent="0.3">
      <c r="F544" s="373"/>
      <c r="G544" s="373"/>
      <c r="H544" s="373"/>
      <c r="I544" s="373"/>
      <c r="J544" s="373"/>
      <c r="K544" s="374"/>
      <c r="L544" s="373"/>
      <c r="M544" s="373"/>
      <c r="N544" s="373"/>
      <c r="O544" s="373"/>
      <c r="P544" s="373"/>
      <c r="Q544" s="373"/>
      <c r="R544" s="373"/>
      <c r="S544" s="373"/>
      <c r="T544" s="373"/>
      <c r="U544" s="373"/>
      <c r="V544" s="373"/>
    </row>
    <row r="545" spans="6:22" ht="58.5" customHeight="1" x14ac:dyDescent="0.3">
      <c r="F545" s="373"/>
      <c r="G545" s="373"/>
      <c r="H545" s="373"/>
      <c r="I545" s="373"/>
      <c r="J545" s="373"/>
      <c r="K545" s="374"/>
      <c r="L545" s="373"/>
      <c r="M545" s="373"/>
      <c r="N545" s="373"/>
      <c r="O545" s="373"/>
      <c r="P545" s="373"/>
      <c r="Q545" s="373"/>
      <c r="R545" s="373"/>
      <c r="S545" s="373"/>
      <c r="T545" s="373"/>
      <c r="U545" s="373"/>
      <c r="V545" s="373"/>
    </row>
    <row r="546" spans="6:22" ht="58.5" customHeight="1" x14ac:dyDescent="0.3">
      <c r="F546" s="373"/>
      <c r="G546" s="373"/>
      <c r="H546" s="373"/>
      <c r="I546" s="373"/>
      <c r="J546" s="373"/>
      <c r="K546" s="374"/>
      <c r="L546" s="373"/>
      <c r="M546" s="373"/>
      <c r="N546" s="373"/>
      <c r="O546" s="373"/>
      <c r="P546" s="373"/>
      <c r="Q546" s="373"/>
      <c r="R546" s="373"/>
      <c r="S546" s="373"/>
      <c r="T546" s="373"/>
      <c r="U546" s="373"/>
      <c r="V546" s="373"/>
    </row>
    <row r="547" spans="6:22" ht="58.5" customHeight="1" x14ac:dyDescent="0.3">
      <c r="F547" s="373"/>
      <c r="G547" s="373"/>
      <c r="H547" s="373"/>
      <c r="I547" s="373"/>
      <c r="J547" s="373"/>
      <c r="K547" s="374"/>
      <c r="L547" s="373"/>
      <c r="M547" s="373"/>
      <c r="N547" s="373"/>
      <c r="O547" s="373"/>
      <c r="P547" s="373"/>
      <c r="Q547" s="373"/>
      <c r="R547" s="373"/>
      <c r="S547" s="373"/>
      <c r="T547" s="373"/>
      <c r="U547" s="373"/>
      <c r="V547" s="373"/>
    </row>
    <row r="548" spans="6:22" ht="58.5" customHeight="1" x14ac:dyDescent="0.3">
      <c r="F548" s="373"/>
      <c r="G548" s="373"/>
      <c r="H548" s="373"/>
      <c r="I548" s="373"/>
      <c r="J548" s="373"/>
      <c r="K548" s="374"/>
      <c r="L548" s="373"/>
      <c r="M548" s="373"/>
      <c r="N548" s="373"/>
      <c r="O548" s="373"/>
      <c r="P548" s="373"/>
      <c r="Q548" s="373"/>
      <c r="R548" s="373"/>
      <c r="S548" s="373"/>
      <c r="T548" s="373"/>
      <c r="U548" s="373"/>
      <c r="V548" s="373"/>
    </row>
    <row r="549" spans="6:22" ht="58.5" customHeight="1" x14ac:dyDescent="0.3">
      <c r="F549" s="373"/>
      <c r="G549" s="373"/>
      <c r="H549" s="373"/>
      <c r="I549" s="373"/>
      <c r="J549" s="373"/>
      <c r="K549" s="374"/>
      <c r="L549" s="373"/>
      <c r="M549" s="373"/>
      <c r="N549" s="373"/>
      <c r="O549" s="373"/>
      <c r="P549" s="373"/>
      <c r="Q549" s="373"/>
      <c r="R549" s="373"/>
      <c r="S549" s="373"/>
      <c r="T549" s="373"/>
      <c r="U549" s="373"/>
      <c r="V549" s="373"/>
    </row>
    <row r="550" spans="6:22" ht="58.5" customHeight="1" x14ac:dyDescent="0.3">
      <c r="F550" s="373"/>
      <c r="G550" s="373"/>
      <c r="H550" s="373"/>
      <c r="I550" s="373"/>
      <c r="J550" s="373"/>
      <c r="K550" s="374"/>
      <c r="L550" s="373"/>
      <c r="M550" s="373"/>
      <c r="N550" s="373"/>
      <c r="O550" s="373"/>
      <c r="P550" s="373"/>
      <c r="Q550" s="373"/>
      <c r="R550" s="373"/>
      <c r="S550" s="373"/>
      <c r="T550" s="373"/>
      <c r="U550" s="373"/>
      <c r="V550" s="373"/>
    </row>
    <row r="551" spans="6:22" ht="58.5" customHeight="1" x14ac:dyDescent="0.3">
      <c r="F551" s="373"/>
      <c r="G551" s="373"/>
      <c r="H551" s="373"/>
      <c r="I551" s="373"/>
      <c r="J551" s="373"/>
      <c r="K551" s="374"/>
      <c r="L551" s="373"/>
      <c r="M551" s="373"/>
      <c r="N551" s="373"/>
      <c r="O551" s="373"/>
      <c r="P551" s="373"/>
      <c r="Q551" s="373"/>
      <c r="R551" s="373"/>
      <c r="S551" s="373"/>
      <c r="T551" s="373"/>
      <c r="U551" s="373"/>
      <c r="V551" s="373"/>
    </row>
    <row r="552" spans="6:22" ht="58.5" customHeight="1" x14ac:dyDescent="0.3">
      <c r="F552" s="373"/>
      <c r="G552" s="373"/>
      <c r="H552" s="373"/>
      <c r="I552" s="373"/>
      <c r="J552" s="373"/>
      <c r="K552" s="374"/>
      <c r="L552" s="373"/>
      <c r="M552" s="373"/>
      <c r="N552" s="373"/>
      <c r="O552" s="373"/>
      <c r="P552" s="373"/>
      <c r="Q552" s="373"/>
      <c r="R552" s="373"/>
      <c r="S552" s="373"/>
      <c r="T552" s="373"/>
      <c r="U552" s="373"/>
      <c r="V552" s="373"/>
    </row>
    <row r="553" spans="6:22" ht="58.5" customHeight="1" x14ac:dyDescent="0.3">
      <c r="F553" s="373"/>
      <c r="G553" s="373"/>
      <c r="H553" s="373"/>
      <c r="I553" s="373"/>
      <c r="J553" s="373"/>
      <c r="K553" s="374"/>
      <c r="L553" s="373"/>
      <c r="M553" s="373"/>
      <c r="N553" s="373"/>
      <c r="O553" s="373"/>
      <c r="P553" s="373"/>
      <c r="Q553" s="373"/>
      <c r="R553" s="373"/>
      <c r="S553" s="373"/>
      <c r="T553" s="373"/>
      <c r="U553" s="373"/>
      <c r="V553" s="373"/>
    </row>
    <row r="554" spans="6:22" ht="58.5" customHeight="1" x14ac:dyDescent="0.3">
      <c r="F554" s="373"/>
      <c r="G554" s="373"/>
      <c r="H554" s="373"/>
      <c r="I554" s="373"/>
      <c r="J554" s="373"/>
      <c r="K554" s="374"/>
      <c r="L554" s="373"/>
      <c r="M554" s="373"/>
      <c r="N554" s="373"/>
      <c r="O554" s="373"/>
      <c r="P554" s="373"/>
      <c r="Q554" s="373"/>
      <c r="R554" s="373"/>
      <c r="S554" s="373"/>
      <c r="T554" s="373"/>
      <c r="U554" s="373"/>
      <c r="V554" s="373"/>
    </row>
    <row r="555" spans="6:22" ht="58.5" customHeight="1" x14ac:dyDescent="0.3">
      <c r="F555" s="373"/>
      <c r="G555" s="373"/>
      <c r="H555" s="373"/>
      <c r="I555" s="373"/>
      <c r="J555" s="373"/>
      <c r="K555" s="374"/>
      <c r="L555" s="373"/>
      <c r="M555" s="373"/>
      <c r="N555" s="373"/>
      <c r="O555" s="373"/>
      <c r="P555" s="373"/>
      <c r="Q555" s="373"/>
      <c r="R555" s="373"/>
      <c r="S555" s="373"/>
      <c r="T555" s="373"/>
      <c r="U555" s="373"/>
      <c r="V555" s="373"/>
    </row>
    <row r="556" spans="6:22" ht="58.5" customHeight="1" x14ac:dyDescent="0.3">
      <c r="F556" s="373"/>
      <c r="G556" s="373"/>
      <c r="H556" s="373"/>
      <c r="I556" s="373"/>
      <c r="J556" s="373"/>
      <c r="K556" s="374"/>
      <c r="L556" s="373"/>
      <c r="M556" s="373"/>
      <c r="N556" s="373"/>
      <c r="O556" s="373"/>
      <c r="P556" s="373"/>
      <c r="Q556" s="373"/>
      <c r="R556" s="373"/>
      <c r="S556" s="373"/>
      <c r="T556" s="373"/>
      <c r="U556" s="373"/>
      <c r="V556" s="373"/>
    </row>
    <row r="557" spans="6:22" ht="58.5" customHeight="1" x14ac:dyDescent="0.3">
      <c r="F557" s="373"/>
      <c r="G557" s="373"/>
      <c r="H557" s="373"/>
      <c r="I557" s="373"/>
      <c r="J557" s="373"/>
      <c r="K557" s="374"/>
      <c r="L557" s="373"/>
      <c r="M557" s="373"/>
      <c r="N557" s="373"/>
      <c r="O557" s="373"/>
      <c r="P557" s="373"/>
      <c r="Q557" s="373"/>
      <c r="R557" s="373"/>
      <c r="S557" s="373"/>
      <c r="T557" s="373"/>
      <c r="U557" s="373"/>
      <c r="V557" s="373"/>
    </row>
    <row r="558" spans="6:22" ht="58.5" customHeight="1" x14ac:dyDescent="0.3">
      <c r="F558" s="373"/>
      <c r="G558" s="373"/>
      <c r="H558" s="373"/>
      <c r="I558" s="373"/>
      <c r="J558" s="373"/>
      <c r="K558" s="374"/>
      <c r="L558" s="373"/>
      <c r="M558" s="373"/>
      <c r="N558" s="373"/>
      <c r="O558" s="373"/>
      <c r="P558" s="373"/>
      <c r="Q558" s="373"/>
      <c r="R558" s="373"/>
      <c r="S558" s="373"/>
      <c r="T558" s="373"/>
      <c r="U558" s="373"/>
      <c r="V558" s="373"/>
    </row>
    <row r="559" spans="6:22" ht="58.5" customHeight="1" x14ac:dyDescent="0.3">
      <c r="F559" s="373"/>
      <c r="G559" s="373"/>
      <c r="H559" s="373"/>
      <c r="I559" s="373"/>
      <c r="J559" s="373"/>
      <c r="K559" s="374"/>
      <c r="L559" s="373"/>
      <c r="M559" s="373"/>
      <c r="N559" s="373"/>
      <c r="O559" s="373"/>
      <c r="P559" s="373"/>
      <c r="Q559" s="373"/>
      <c r="R559" s="373"/>
      <c r="S559" s="373"/>
      <c r="T559" s="373"/>
      <c r="U559" s="373"/>
      <c r="V559" s="373"/>
    </row>
    <row r="560" spans="6:22" ht="58.5" customHeight="1" x14ac:dyDescent="0.3">
      <c r="F560" s="373"/>
      <c r="G560" s="373"/>
      <c r="H560" s="373"/>
      <c r="I560" s="373"/>
      <c r="J560" s="373"/>
      <c r="K560" s="374"/>
      <c r="L560" s="373"/>
      <c r="M560" s="373"/>
      <c r="N560" s="373"/>
      <c r="O560" s="373"/>
      <c r="P560" s="373"/>
      <c r="Q560" s="373"/>
      <c r="R560" s="373"/>
      <c r="S560" s="373"/>
      <c r="T560" s="373"/>
      <c r="U560" s="373"/>
      <c r="V560" s="373"/>
    </row>
    <row r="561" spans="6:22" ht="58.5" customHeight="1" x14ac:dyDescent="0.3">
      <c r="F561" s="373"/>
      <c r="G561" s="373"/>
      <c r="H561" s="373"/>
      <c r="I561" s="373"/>
      <c r="J561" s="373"/>
      <c r="K561" s="374"/>
      <c r="L561" s="373"/>
      <c r="M561" s="373"/>
      <c r="N561" s="373"/>
      <c r="O561" s="373"/>
      <c r="P561" s="373"/>
      <c r="Q561" s="373"/>
      <c r="R561" s="373"/>
      <c r="S561" s="373"/>
      <c r="T561" s="373"/>
      <c r="U561" s="373"/>
      <c r="V561" s="373"/>
    </row>
    <row r="562" spans="6:22" ht="58.5" customHeight="1" x14ac:dyDescent="0.3">
      <c r="F562" s="373"/>
      <c r="G562" s="373"/>
      <c r="H562" s="373"/>
      <c r="I562" s="373"/>
      <c r="J562" s="373"/>
      <c r="K562" s="374"/>
      <c r="L562" s="373"/>
      <c r="M562" s="373"/>
      <c r="N562" s="373"/>
      <c r="O562" s="373"/>
      <c r="P562" s="373"/>
      <c r="Q562" s="373"/>
      <c r="R562" s="373"/>
      <c r="S562" s="373"/>
      <c r="T562" s="373"/>
      <c r="U562" s="373"/>
      <c r="V562" s="373"/>
    </row>
    <row r="563" spans="6:22" ht="58.5" customHeight="1" x14ac:dyDescent="0.3">
      <c r="F563" s="373"/>
      <c r="G563" s="373"/>
      <c r="H563" s="373"/>
      <c r="I563" s="373"/>
      <c r="J563" s="373"/>
      <c r="K563" s="374"/>
      <c r="L563" s="373"/>
      <c r="M563" s="373"/>
      <c r="N563" s="373"/>
      <c r="O563" s="373"/>
      <c r="P563" s="373"/>
      <c r="Q563" s="373"/>
      <c r="R563" s="373"/>
      <c r="S563" s="373"/>
      <c r="T563" s="373"/>
      <c r="U563" s="373"/>
      <c r="V563" s="373"/>
    </row>
    <row r="564" spans="6:22" ht="58.5" customHeight="1" x14ac:dyDescent="0.3">
      <c r="F564" s="373"/>
      <c r="G564" s="373"/>
      <c r="H564" s="373"/>
      <c r="I564" s="373"/>
      <c r="J564" s="373"/>
      <c r="K564" s="374"/>
      <c r="L564" s="373"/>
      <c r="M564" s="373"/>
      <c r="N564" s="373"/>
      <c r="O564" s="373"/>
      <c r="P564" s="373"/>
      <c r="Q564" s="373"/>
      <c r="R564" s="373"/>
      <c r="S564" s="373"/>
      <c r="T564" s="373"/>
      <c r="U564" s="373"/>
      <c r="V564" s="373"/>
    </row>
    <row r="565" spans="6:22" ht="58.5" customHeight="1" x14ac:dyDescent="0.3">
      <c r="F565" s="373"/>
      <c r="G565" s="373"/>
      <c r="H565" s="373"/>
      <c r="I565" s="373"/>
      <c r="J565" s="373"/>
      <c r="K565" s="374"/>
      <c r="L565" s="373"/>
      <c r="M565" s="373"/>
      <c r="N565" s="373"/>
      <c r="O565" s="373"/>
      <c r="P565" s="373"/>
      <c r="Q565" s="373"/>
      <c r="R565" s="373"/>
      <c r="S565" s="373"/>
      <c r="T565" s="373"/>
      <c r="U565" s="373"/>
      <c r="V565" s="373"/>
    </row>
    <row r="566" spans="6:22" ht="58.5" customHeight="1" x14ac:dyDescent="0.3">
      <c r="F566" s="373"/>
      <c r="G566" s="373"/>
      <c r="H566" s="373"/>
      <c r="I566" s="373"/>
      <c r="J566" s="373"/>
      <c r="K566" s="374"/>
      <c r="L566" s="373"/>
      <c r="M566" s="373"/>
      <c r="N566" s="373"/>
      <c r="O566" s="373"/>
      <c r="P566" s="373"/>
      <c r="Q566" s="373"/>
      <c r="R566" s="373"/>
      <c r="S566" s="373"/>
      <c r="T566" s="373"/>
      <c r="U566" s="373"/>
      <c r="V566" s="373"/>
    </row>
    <row r="567" spans="6:22" ht="58.5" customHeight="1" x14ac:dyDescent="0.3">
      <c r="F567" s="373"/>
      <c r="G567" s="373"/>
      <c r="H567" s="373"/>
      <c r="I567" s="373"/>
      <c r="J567" s="373"/>
      <c r="K567" s="374"/>
      <c r="L567" s="373"/>
      <c r="M567" s="373"/>
      <c r="N567" s="373"/>
      <c r="O567" s="373"/>
      <c r="P567" s="373"/>
      <c r="Q567" s="373"/>
      <c r="R567" s="373"/>
      <c r="S567" s="373"/>
      <c r="T567" s="373"/>
      <c r="U567" s="373"/>
      <c r="V567" s="373"/>
    </row>
    <row r="568" spans="6:22" ht="58.5" customHeight="1" x14ac:dyDescent="0.3">
      <c r="F568" s="373"/>
      <c r="G568" s="373"/>
      <c r="H568" s="373"/>
      <c r="I568" s="373"/>
      <c r="J568" s="373"/>
      <c r="K568" s="374"/>
      <c r="L568" s="373"/>
      <c r="M568" s="373"/>
      <c r="N568" s="373"/>
      <c r="O568" s="373"/>
      <c r="P568" s="373"/>
      <c r="Q568" s="373"/>
      <c r="R568" s="373"/>
      <c r="S568" s="373"/>
      <c r="T568" s="373"/>
      <c r="U568" s="373"/>
      <c r="V568" s="373"/>
    </row>
    <row r="569" spans="6:22" ht="58.5" customHeight="1" x14ac:dyDescent="0.3">
      <c r="F569" s="373"/>
      <c r="G569" s="373"/>
      <c r="H569" s="373"/>
      <c r="I569" s="373"/>
      <c r="J569" s="373"/>
      <c r="K569" s="374"/>
      <c r="L569" s="373"/>
      <c r="M569" s="373"/>
      <c r="N569" s="373"/>
      <c r="O569" s="373"/>
      <c r="P569" s="373"/>
      <c r="Q569" s="373"/>
      <c r="R569" s="373"/>
      <c r="S569" s="373"/>
      <c r="T569" s="373"/>
      <c r="U569" s="373"/>
      <c r="V569" s="373"/>
    </row>
    <row r="570" spans="6:22" ht="58.5" customHeight="1" x14ac:dyDescent="0.3">
      <c r="F570" s="373"/>
      <c r="G570" s="373"/>
      <c r="H570" s="373"/>
      <c r="I570" s="373"/>
      <c r="J570" s="373"/>
      <c r="K570" s="374"/>
      <c r="L570" s="373"/>
      <c r="M570" s="373"/>
      <c r="N570" s="373"/>
      <c r="O570" s="373"/>
      <c r="P570" s="373"/>
      <c r="Q570" s="373"/>
      <c r="R570" s="373"/>
      <c r="S570" s="373"/>
      <c r="T570" s="373"/>
      <c r="U570" s="373"/>
      <c r="V570" s="373"/>
    </row>
    <row r="571" spans="6:22" ht="58.5" customHeight="1" x14ac:dyDescent="0.3">
      <c r="F571" s="373"/>
      <c r="G571" s="373"/>
      <c r="H571" s="373"/>
      <c r="I571" s="373"/>
      <c r="J571" s="373"/>
      <c r="K571" s="374"/>
      <c r="L571" s="373"/>
      <c r="M571" s="373"/>
      <c r="N571" s="373"/>
      <c r="O571" s="373"/>
      <c r="P571" s="373"/>
      <c r="Q571" s="373"/>
      <c r="R571" s="373"/>
      <c r="S571" s="373"/>
      <c r="T571" s="373"/>
      <c r="U571" s="373"/>
      <c r="V571" s="373"/>
    </row>
    <row r="572" spans="6:22" ht="58.5" customHeight="1" x14ac:dyDescent="0.3">
      <c r="F572" s="373"/>
      <c r="G572" s="373"/>
      <c r="H572" s="373"/>
      <c r="I572" s="373"/>
      <c r="J572" s="373"/>
      <c r="K572" s="374"/>
      <c r="L572" s="373"/>
      <c r="M572" s="373"/>
      <c r="N572" s="373"/>
      <c r="O572" s="373"/>
      <c r="P572" s="373"/>
      <c r="Q572" s="373"/>
      <c r="R572" s="373"/>
      <c r="S572" s="373"/>
      <c r="T572" s="373"/>
      <c r="U572" s="373"/>
      <c r="V572" s="373"/>
    </row>
    <row r="573" spans="6:22" ht="58.5" customHeight="1" x14ac:dyDescent="0.3">
      <c r="F573" s="373"/>
      <c r="G573" s="373"/>
      <c r="H573" s="373"/>
      <c r="I573" s="373"/>
      <c r="J573" s="373"/>
      <c r="K573" s="374"/>
      <c r="L573" s="373"/>
      <c r="M573" s="373"/>
      <c r="N573" s="373"/>
      <c r="O573" s="373"/>
      <c r="P573" s="373"/>
      <c r="Q573" s="373"/>
      <c r="R573" s="373"/>
      <c r="S573" s="373"/>
      <c r="T573" s="373"/>
      <c r="U573" s="373"/>
      <c r="V573" s="373"/>
    </row>
    <row r="574" spans="6:22" ht="58.5" customHeight="1" x14ac:dyDescent="0.3">
      <c r="F574" s="373"/>
      <c r="G574" s="373"/>
      <c r="H574" s="373"/>
      <c r="I574" s="373"/>
      <c r="J574" s="373"/>
      <c r="K574" s="374"/>
      <c r="L574" s="373"/>
      <c r="M574" s="373"/>
      <c r="N574" s="373"/>
      <c r="O574" s="373"/>
      <c r="P574" s="373"/>
      <c r="Q574" s="373"/>
      <c r="R574" s="373"/>
      <c r="S574" s="373"/>
      <c r="T574" s="373"/>
      <c r="U574" s="373"/>
      <c r="V574" s="373"/>
    </row>
    <row r="575" spans="6:22" ht="58.5" customHeight="1" x14ac:dyDescent="0.3">
      <c r="F575" s="373"/>
      <c r="G575" s="373"/>
      <c r="H575" s="373"/>
      <c r="I575" s="373"/>
      <c r="J575" s="373"/>
      <c r="K575" s="374"/>
      <c r="L575" s="373"/>
      <c r="M575" s="373"/>
      <c r="N575" s="373"/>
      <c r="O575" s="373"/>
      <c r="P575" s="373"/>
      <c r="Q575" s="373"/>
      <c r="R575" s="373"/>
      <c r="S575" s="373"/>
      <c r="T575" s="373"/>
      <c r="U575" s="373"/>
      <c r="V575" s="373"/>
    </row>
    <row r="576" spans="6:22" ht="58.5" customHeight="1" x14ac:dyDescent="0.3">
      <c r="F576" s="373"/>
      <c r="G576" s="373"/>
      <c r="H576" s="373"/>
      <c r="I576" s="373"/>
      <c r="J576" s="373"/>
      <c r="K576" s="374"/>
      <c r="L576" s="373"/>
      <c r="M576" s="373"/>
      <c r="N576" s="373"/>
      <c r="O576" s="373"/>
      <c r="P576" s="373"/>
      <c r="Q576" s="373"/>
      <c r="R576" s="373"/>
      <c r="S576" s="373"/>
      <c r="T576" s="373"/>
      <c r="U576" s="373"/>
      <c r="V576" s="373"/>
    </row>
    <row r="577" spans="6:22" ht="58.5" customHeight="1" x14ac:dyDescent="0.3">
      <c r="F577" s="373"/>
      <c r="G577" s="373"/>
      <c r="H577" s="373"/>
      <c r="I577" s="373"/>
      <c r="J577" s="373"/>
      <c r="K577" s="374"/>
      <c r="L577" s="373"/>
      <c r="M577" s="373"/>
      <c r="N577" s="373"/>
      <c r="O577" s="373"/>
      <c r="P577" s="373"/>
      <c r="Q577" s="373"/>
      <c r="R577" s="373"/>
      <c r="S577" s="373"/>
      <c r="T577" s="373"/>
      <c r="U577" s="373"/>
      <c r="V577" s="373"/>
    </row>
    <row r="578" spans="6:22" ht="58.5" customHeight="1" x14ac:dyDescent="0.3">
      <c r="F578" s="373"/>
      <c r="G578" s="373"/>
      <c r="H578" s="373"/>
      <c r="I578" s="373"/>
      <c r="J578" s="373"/>
      <c r="K578" s="374"/>
      <c r="L578" s="373"/>
      <c r="M578" s="373"/>
      <c r="N578" s="373"/>
      <c r="O578" s="373"/>
      <c r="P578" s="373"/>
      <c r="Q578" s="373"/>
      <c r="R578" s="373"/>
      <c r="S578" s="373"/>
      <c r="T578" s="373"/>
      <c r="U578" s="373"/>
      <c r="V578" s="373"/>
    </row>
    <row r="579" spans="6:22" ht="58.5" customHeight="1" x14ac:dyDescent="0.3">
      <c r="F579" s="373"/>
      <c r="G579" s="373"/>
      <c r="H579" s="373"/>
      <c r="I579" s="373"/>
      <c r="J579" s="373"/>
      <c r="K579" s="374"/>
      <c r="L579" s="373"/>
      <c r="M579" s="373"/>
      <c r="N579" s="373"/>
      <c r="O579" s="373"/>
      <c r="P579" s="373"/>
      <c r="Q579" s="373"/>
      <c r="R579" s="373"/>
      <c r="S579" s="373"/>
      <c r="T579" s="373"/>
      <c r="U579" s="373"/>
      <c r="V579" s="373"/>
    </row>
    <row r="580" spans="6:22" ht="58.5" customHeight="1" x14ac:dyDescent="0.3">
      <c r="F580" s="373"/>
      <c r="G580" s="373"/>
      <c r="H580" s="373"/>
      <c r="I580" s="373"/>
      <c r="J580" s="373"/>
      <c r="K580" s="374"/>
      <c r="L580" s="373"/>
      <c r="M580" s="373"/>
      <c r="N580" s="373"/>
      <c r="O580" s="373"/>
      <c r="P580" s="373"/>
      <c r="Q580" s="373"/>
      <c r="R580" s="373"/>
      <c r="S580" s="373"/>
      <c r="T580" s="373"/>
      <c r="U580" s="373"/>
      <c r="V580" s="373"/>
    </row>
    <row r="581" spans="6:22" ht="58.5" customHeight="1" x14ac:dyDescent="0.3">
      <c r="F581" s="373"/>
      <c r="G581" s="373"/>
      <c r="H581" s="373"/>
      <c r="I581" s="373"/>
      <c r="J581" s="373"/>
      <c r="K581" s="374"/>
      <c r="L581" s="373"/>
      <c r="M581" s="373"/>
      <c r="N581" s="373"/>
      <c r="O581" s="373"/>
      <c r="P581" s="373"/>
      <c r="Q581" s="373"/>
      <c r="R581" s="373"/>
      <c r="S581" s="373"/>
      <c r="T581" s="373"/>
      <c r="U581" s="373"/>
      <c r="V581" s="373"/>
    </row>
    <row r="582" spans="6:22" ht="58.5" customHeight="1" x14ac:dyDescent="0.3">
      <c r="F582" s="373"/>
      <c r="G582" s="373"/>
      <c r="H582" s="373"/>
      <c r="I582" s="373"/>
      <c r="J582" s="373"/>
      <c r="K582" s="374"/>
      <c r="L582" s="373"/>
      <c r="M582" s="373"/>
      <c r="N582" s="373"/>
      <c r="O582" s="373"/>
      <c r="P582" s="373"/>
      <c r="Q582" s="373"/>
      <c r="R582" s="373"/>
      <c r="S582" s="373"/>
      <c r="T582" s="373"/>
      <c r="U582" s="373"/>
      <c r="V582" s="373"/>
    </row>
    <row r="583" spans="6:22" ht="58.5" customHeight="1" x14ac:dyDescent="0.3">
      <c r="F583" s="373"/>
      <c r="G583" s="373"/>
      <c r="H583" s="373"/>
      <c r="I583" s="373"/>
      <c r="J583" s="373"/>
      <c r="K583" s="374"/>
      <c r="L583" s="373"/>
      <c r="M583" s="373"/>
      <c r="N583" s="373"/>
      <c r="O583" s="373"/>
      <c r="P583" s="373"/>
      <c r="Q583" s="373"/>
      <c r="R583" s="373"/>
      <c r="S583" s="373"/>
      <c r="T583" s="373"/>
      <c r="U583" s="373"/>
      <c r="V583" s="373"/>
    </row>
    <row r="584" spans="6:22" ht="58.5" customHeight="1" x14ac:dyDescent="0.3">
      <c r="F584" s="373"/>
      <c r="G584" s="373"/>
      <c r="H584" s="373"/>
      <c r="I584" s="373"/>
      <c r="J584" s="373"/>
      <c r="K584" s="374"/>
      <c r="L584" s="373"/>
      <c r="M584" s="373"/>
      <c r="N584" s="373"/>
      <c r="O584" s="373"/>
      <c r="P584" s="373"/>
      <c r="Q584" s="373"/>
      <c r="R584" s="373"/>
      <c r="S584" s="373"/>
      <c r="T584" s="373"/>
      <c r="U584" s="373"/>
      <c r="V584" s="373"/>
    </row>
    <row r="585" spans="6:22" ht="58.5" customHeight="1" x14ac:dyDescent="0.3">
      <c r="F585" s="373"/>
      <c r="G585" s="373"/>
      <c r="H585" s="373"/>
      <c r="I585" s="373"/>
      <c r="J585" s="373"/>
      <c r="K585" s="374"/>
      <c r="L585" s="373"/>
      <c r="M585" s="373"/>
      <c r="N585" s="373"/>
      <c r="O585" s="373"/>
      <c r="P585" s="373"/>
      <c r="Q585" s="373"/>
      <c r="R585" s="373"/>
      <c r="S585" s="373"/>
      <c r="T585" s="373"/>
      <c r="U585" s="373"/>
      <c r="V585" s="373"/>
    </row>
    <row r="586" spans="6:22" ht="58.5" customHeight="1" x14ac:dyDescent="0.3">
      <c r="F586" s="373"/>
      <c r="G586" s="373"/>
      <c r="H586" s="373"/>
      <c r="I586" s="373"/>
      <c r="J586" s="373"/>
      <c r="K586" s="374"/>
      <c r="L586" s="373"/>
      <c r="M586" s="373"/>
      <c r="N586" s="373"/>
      <c r="O586" s="373"/>
      <c r="P586" s="373"/>
      <c r="Q586" s="373"/>
      <c r="R586" s="373"/>
      <c r="S586" s="373"/>
      <c r="T586" s="373"/>
      <c r="U586" s="373"/>
      <c r="V586" s="373"/>
    </row>
    <row r="587" spans="6:22" ht="58.5" customHeight="1" x14ac:dyDescent="0.3">
      <c r="F587" s="373"/>
      <c r="G587" s="373"/>
      <c r="H587" s="373"/>
      <c r="I587" s="373"/>
      <c r="J587" s="373"/>
      <c r="K587" s="374"/>
      <c r="L587" s="373"/>
      <c r="M587" s="373"/>
      <c r="N587" s="373"/>
      <c r="O587" s="373"/>
      <c r="P587" s="373"/>
      <c r="Q587" s="373"/>
      <c r="R587" s="373"/>
      <c r="S587" s="373"/>
      <c r="T587" s="373"/>
      <c r="U587" s="373"/>
      <c r="V587" s="373"/>
    </row>
    <row r="588" spans="6:22" ht="58.5" customHeight="1" x14ac:dyDescent="0.3">
      <c r="F588" s="373"/>
      <c r="G588" s="373"/>
      <c r="H588" s="373"/>
      <c r="I588" s="373"/>
      <c r="J588" s="373"/>
      <c r="K588" s="374"/>
      <c r="L588" s="373"/>
      <c r="M588" s="373"/>
      <c r="N588" s="373"/>
      <c r="O588" s="373"/>
      <c r="P588" s="373"/>
      <c r="Q588" s="373"/>
      <c r="R588" s="373"/>
      <c r="S588" s="373"/>
      <c r="T588" s="373"/>
      <c r="U588" s="373"/>
      <c r="V588" s="373"/>
    </row>
    <row r="589" spans="6:22" ht="58.5" customHeight="1" x14ac:dyDescent="0.3">
      <c r="F589" s="373"/>
      <c r="G589" s="373"/>
      <c r="H589" s="373"/>
      <c r="I589" s="373"/>
      <c r="J589" s="373"/>
      <c r="K589" s="374"/>
      <c r="L589" s="373"/>
      <c r="M589" s="373"/>
      <c r="N589" s="373"/>
      <c r="O589" s="373"/>
      <c r="P589" s="373"/>
      <c r="Q589" s="373"/>
      <c r="R589" s="373"/>
      <c r="S589" s="373"/>
      <c r="T589" s="373"/>
      <c r="U589" s="373"/>
      <c r="V589" s="373"/>
    </row>
    <row r="590" spans="6:22" ht="58.5" customHeight="1" x14ac:dyDescent="0.3">
      <c r="F590" s="373"/>
      <c r="G590" s="373"/>
      <c r="H590" s="373"/>
      <c r="I590" s="373"/>
      <c r="J590" s="373"/>
      <c r="K590" s="374"/>
      <c r="L590" s="373"/>
      <c r="M590" s="373"/>
      <c r="N590" s="373"/>
      <c r="O590" s="373"/>
      <c r="P590" s="373"/>
      <c r="Q590" s="373"/>
      <c r="R590" s="373"/>
      <c r="S590" s="373"/>
      <c r="T590" s="373"/>
      <c r="U590" s="373"/>
      <c r="V590" s="373"/>
    </row>
    <row r="591" spans="6:22" ht="58.5" customHeight="1" x14ac:dyDescent="0.3">
      <c r="F591" s="373"/>
      <c r="G591" s="373"/>
      <c r="H591" s="373"/>
      <c r="I591" s="373"/>
      <c r="J591" s="373"/>
      <c r="K591" s="374"/>
      <c r="L591" s="373"/>
      <c r="M591" s="373"/>
      <c r="N591" s="373"/>
      <c r="O591" s="373"/>
      <c r="P591" s="373"/>
      <c r="Q591" s="373"/>
      <c r="R591" s="373"/>
      <c r="S591" s="373"/>
      <c r="T591" s="373"/>
      <c r="U591" s="373"/>
      <c r="V591" s="373"/>
    </row>
    <row r="592" spans="6:22" ht="58.5" customHeight="1" x14ac:dyDescent="0.3">
      <c r="F592" s="373"/>
      <c r="G592" s="373"/>
      <c r="H592" s="373"/>
      <c r="I592" s="373"/>
      <c r="J592" s="373"/>
      <c r="K592" s="374"/>
      <c r="L592" s="373"/>
      <c r="M592" s="373"/>
      <c r="N592" s="373"/>
      <c r="O592" s="373"/>
      <c r="P592" s="373"/>
      <c r="Q592" s="373"/>
      <c r="R592" s="373"/>
      <c r="S592" s="373"/>
      <c r="T592" s="373"/>
      <c r="U592" s="373"/>
      <c r="V592" s="373"/>
    </row>
    <row r="593" spans="6:22" ht="58.5" customHeight="1" x14ac:dyDescent="0.3">
      <c r="F593" s="373"/>
      <c r="G593" s="373"/>
      <c r="H593" s="373"/>
      <c r="I593" s="373"/>
      <c r="J593" s="373"/>
      <c r="K593" s="374"/>
      <c r="L593" s="373"/>
      <c r="M593" s="373"/>
      <c r="N593" s="373"/>
      <c r="O593" s="373"/>
      <c r="P593" s="373"/>
      <c r="Q593" s="373"/>
      <c r="R593" s="373"/>
      <c r="S593" s="373"/>
      <c r="T593" s="373"/>
      <c r="U593" s="373"/>
      <c r="V593" s="373"/>
    </row>
    <row r="594" spans="6:22" ht="58.5" customHeight="1" x14ac:dyDescent="0.3">
      <c r="F594" s="373"/>
      <c r="G594" s="373"/>
      <c r="H594" s="373"/>
      <c r="I594" s="373"/>
      <c r="J594" s="373"/>
      <c r="K594" s="374"/>
      <c r="L594" s="373"/>
      <c r="M594" s="373"/>
      <c r="N594" s="373"/>
      <c r="O594" s="373"/>
      <c r="P594" s="373"/>
      <c r="Q594" s="373"/>
      <c r="R594" s="373"/>
      <c r="S594" s="373"/>
      <c r="T594" s="373"/>
      <c r="U594" s="373"/>
      <c r="V594" s="373"/>
    </row>
    <row r="595" spans="6:22" ht="58.5" customHeight="1" x14ac:dyDescent="0.3">
      <c r="F595" s="373"/>
      <c r="G595" s="373"/>
      <c r="H595" s="373"/>
      <c r="I595" s="373"/>
      <c r="J595" s="373"/>
      <c r="K595" s="374"/>
      <c r="L595" s="373"/>
      <c r="M595" s="373"/>
      <c r="N595" s="373"/>
      <c r="O595" s="373"/>
      <c r="P595" s="373"/>
      <c r="Q595" s="373"/>
      <c r="R595" s="373"/>
      <c r="S595" s="373"/>
      <c r="T595" s="373"/>
      <c r="U595" s="373"/>
      <c r="V595" s="373"/>
    </row>
    <row r="596" spans="6:22" ht="58.5" customHeight="1" x14ac:dyDescent="0.3">
      <c r="F596" s="373"/>
      <c r="G596" s="373"/>
      <c r="H596" s="373"/>
      <c r="I596" s="373"/>
      <c r="J596" s="373"/>
      <c r="K596" s="374"/>
      <c r="L596" s="373"/>
      <c r="M596" s="373"/>
      <c r="N596" s="373"/>
      <c r="O596" s="373"/>
      <c r="P596" s="373"/>
      <c r="Q596" s="373"/>
      <c r="R596" s="373"/>
      <c r="S596" s="373"/>
      <c r="T596" s="373"/>
      <c r="U596" s="373"/>
      <c r="V596" s="373"/>
    </row>
    <row r="597" spans="6:22" ht="58.5" customHeight="1" x14ac:dyDescent="0.3">
      <c r="F597" s="373"/>
      <c r="G597" s="373"/>
      <c r="H597" s="373"/>
      <c r="I597" s="373"/>
      <c r="J597" s="373"/>
      <c r="K597" s="374"/>
      <c r="L597" s="373"/>
      <c r="M597" s="373"/>
      <c r="N597" s="373"/>
      <c r="O597" s="373"/>
      <c r="P597" s="373"/>
      <c r="Q597" s="373"/>
      <c r="R597" s="373"/>
      <c r="S597" s="373"/>
      <c r="T597" s="373"/>
      <c r="U597" s="373"/>
      <c r="V597" s="373"/>
    </row>
    <row r="598" spans="6:22" ht="58.5" customHeight="1" x14ac:dyDescent="0.3">
      <c r="F598" s="373"/>
      <c r="G598" s="373"/>
      <c r="H598" s="373"/>
      <c r="I598" s="373"/>
      <c r="J598" s="373"/>
      <c r="K598" s="374"/>
      <c r="L598" s="373"/>
      <c r="M598" s="373"/>
      <c r="N598" s="373"/>
      <c r="O598" s="373"/>
      <c r="P598" s="373"/>
      <c r="Q598" s="373"/>
      <c r="R598" s="373"/>
      <c r="S598" s="373"/>
      <c r="T598" s="373"/>
      <c r="U598" s="373"/>
      <c r="V598" s="373"/>
    </row>
    <row r="599" spans="6:22" ht="58.5" customHeight="1" x14ac:dyDescent="0.3">
      <c r="F599" s="373"/>
      <c r="G599" s="373"/>
      <c r="H599" s="373"/>
      <c r="I599" s="373"/>
      <c r="J599" s="373"/>
      <c r="K599" s="374"/>
      <c r="L599" s="373"/>
      <c r="M599" s="373"/>
      <c r="N599" s="373"/>
      <c r="O599" s="373"/>
      <c r="P599" s="373"/>
      <c r="Q599" s="373"/>
      <c r="R599" s="373"/>
      <c r="S599" s="373"/>
      <c r="T599" s="373"/>
      <c r="U599" s="373"/>
      <c r="V599" s="373"/>
    </row>
    <row r="600" spans="6:22" ht="58.5" customHeight="1" x14ac:dyDescent="0.3">
      <c r="F600" s="373"/>
      <c r="G600" s="373"/>
      <c r="H600" s="373"/>
      <c r="I600" s="373"/>
      <c r="J600" s="373"/>
      <c r="K600" s="374"/>
      <c r="L600" s="373"/>
      <c r="M600" s="373"/>
      <c r="N600" s="373"/>
      <c r="O600" s="373"/>
      <c r="P600" s="373"/>
      <c r="Q600" s="373"/>
      <c r="R600" s="373"/>
      <c r="S600" s="373"/>
      <c r="T600" s="373"/>
      <c r="U600" s="373"/>
      <c r="V600" s="373"/>
    </row>
    <row r="601" spans="6:22" ht="58.5" customHeight="1" x14ac:dyDescent="0.3">
      <c r="F601" s="373"/>
      <c r="G601" s="373"/>
      <c r="H601" s="373"/>
      <c r="I601" s="373"/>
      <c r="J601" s="373"/>
      <c r="K601" s="374"/>
      <c r="L601" s="373"/>
      <c r="M601" s="373"/>
      <c r="N601" s="373"/>
      <c r="O601" s="373"/>
      <c r="P601" s="373"/>
      <c r="Q601" s="373"/>
      <c r="R601" s="373"/>
      <c r="S601" s="373"/>
      <c r="T601" s="373"/>
      <c r="U601" s="373"/>
      <c r="V601" s="373"/>
    </row>
    <row r="602" spans="6:22" ht="58.5" customHeight="1" x14ac:dyDescent="0.3">
      <c r="F602" s="373"/>
      <c r="G602" s="373"/>
      <c r="H602" s="373"/>
      <c r="I602" s="373"/>
      <c r="J602" s="373"/>
      <c r="K602" s="374"/>
      <c r="L602" s="373"/>
      <c r="M602" s="373"/>
      <c r="N602" s="373"/>
      <c r="O602" s="373"/>
      <c r="P602" s="373"/>
      <c r="Q602" s="373"/>
      <c r="R602" s="373"/>
      <c r="S602" s="373"/>
      <c r="T602" s="373"/>
      <c r="U602" s="373"/>
      <c r="V602" s="373"/>
    </row>
    <row r="603" spans="6:22" ht="58.5" customHeight="1" x14ac:dyDescent="0.3">
      <c r="F603" s="373"/>
      <c r="G603" s="373"/>
      <c r="H603" s="373"/>
      <c r="I603" s="373"/>
      <c r="J603" s="373"/>
      <c r="K603" s="374"/>
      <c r="L603" s="373"/>
      <c r="M603" s="373"/>
      <c r="N603" s="373"/>
      <c r="O603" s="373"/>
      <c r="P603" s="373"/>
      <c r="Q603" s="373"/>
      <c r="R603" s="373"/>
      <c r="S603" s="373"/>
      <c r="T603" s="373"/>
      <c r="U603" s="373"/>
      <c r="V603" s="373"/>
    </row>
    <row r="604" spans="6:22" ht="58.5" customHeight="1" x14ac:dyDescent="0.3">
      <c r="F604" s="373"/>
      <c r="G604" s="373"/>
      <c r="H604" s="373"/>
      <c r="I604" s="373"/>
      <c r="J604" s="373"/>
      <c r="K604" s="374"/>
      <c r="L604" s="373"/>
      <c r="M604" s="373"/>
      <c r="N604" s="373"/>
      <c r="O604" s="373"/>
      <c r="P604" s="373"/>
      <c r="Q604" s="373"/>
      <c r="R604" s="373"/>
      <c r="S604" s="373"/>
      <c r="T604" s="373"/>
      <c r="U604" s="373"/>
      <c r="V604" s="373"/>
    </row>
    <row r="605" spans="6:22" ht="58.5" customHeight="1" x14ac:dyDescent="0.3">
      <c r="F605" s="373"/>
      <c r="G605" s="373"/>
      <c r="H605" s="373"/>
      <c r="I605" s="373"/>
      <c r="J605" s="373"/>
      <c r="K605" s="374"/>
      <c r="L605" s="373"/>
      <c r="M605" s="373"/>
      <c r="N605" s="373"/>
      <c r="O605" s="373"/>
      <c r="P605" s="373"/>
      <c r="Q605" s="373"/>
      <c r="R605" s="373"/>
      <c r="S605" s="373"/>
      <c r="T605" s="373"/>
      <c r="U605" s="373"/>
      <c r="V605" s="373"/>
    </row>
    <row r="606" spans="6:22" ht="58.5" customHeight="1" x14ac:dyDescent="0.3">
      <c r="F606" s="373"/>
      <c r="G606" s="373"/>
      <c r="H606" s="373"/>
      <c r="I606" s="373"/>
      <c r="J606" s="373"/>
      <c r="K606" s="374"/>
      <c r="L606" s="373"/>
      <c r="M606" s="373"/>
      <c r="N606" s="373"/>
      <c r="O606" s="373"/>
      <c r="P606" s="373"/>
      <c r="Q606" s="373"/>
      <c r="R606" s="373"/>
      <c r="S606" s="373"/>
      <c r="T606" s="373"/>
      <c r="U606" s="373"/>
      <c r="V606" s="373"/>
    </row>
    <row r="607" spans="6:22" ht="58.5" customHeight="1" x14ac:dyDescent="0.3">
      <c r="F607" s="373"/>
      <c r="G607" s="373"/>
      <c r="H607" s="373"/>
      <c r="I607" s="373"/>
      <c r="J607" s="373"/>
      <c r="K607" s="374"/>
      <c r="L607" s="373"/>
      <c r="M607" s="373"/>
      <c r="N607" s="373"/>
      <c r="O607" s="373"/>
      <c r="P607" s="373"/>
      <c r="Q607" s="373"/>
      <c r="R607" s="373"/>
      <c r="S607" s="373"/>
      <c r="T607" s="373"/>
      <c r="U607" s="373"/>
      <c r="V607" s="373"/>
    </row>
    <row r="608" spans="6:22" ht="58.5" customHeight="1" x14ac:dyDescent="0.3">
      <c r="F608" s="373"/>
      <c r="G608" s="373"/>
      <c r="H608" s="373"/>
      <c r="I608" s="373"/>
      <c r="J608" s="373"/>
      <c r="K608" s="374"/>
      <c r="L608" s="373"/>
      <c r="M608" s="373"/>
      <c r="N608" s="373"/>
      <c r="O608" s="373"/>
      <c r="P608" s="373"/>
      <c r="Q608" s="373"/>
      <c r="R608" s="373"/>
      <c r="S608" s="373"/>
      <c r="T608" s="373"/>
      <c r="U608" s="373"/>
      <c r="V608" s="373"/>
    </row>
    <row r="609" spans="6:22" ht="58.5" customHeight="1" x14ac:dyDescent="0.3">
      <c r="F609" s="373"/>
      <c r="G609" s="373"/>
      <c r="H609" s="373"/>
      <c r="I609" s="373"/>
      <c r="J609" s="373"/>
      <c r="K609" s="374"/>
      <c r="L609" s="373"/>
      <c r="M609" s="373"/>
      <c r="N609" s="373"/>
      <c r="O609" s="373"/>
      <c r="P609" s="373"/>
      <c r="Q609" s="373"/>
      <c r="R609" s="373"/>
      <c r="S609" s="373"/>
      <c r="T609" s="373"/>
      <c r="U609" s="373"/>
      <c r="V609" s="373"/>
    </row>
    <row r="610" spans="6:22" ht="58.5" customHeight="1" x14ac:dyDescent="0.3">
      <c r="F610" s="373"/>
      <c r="G610" s="373"/>
      <c r="H610" s="373"/>
      <c r="I610" s="373"/>
      <c r="J610" s="373"/>
      <c r="K610" s="374"/>
      <c r="L610" s="373"/>
      <c r="M610" s="373"/>
      <c r="N610" s="373"/>
      <c r="O610" s="373"/>
      <c r="P610" s="373"/>
      <c r="Q610" s="373"/>
      <c r="R610" s="373"/>
      <c r="S610" s="373"/>
      <c r="T610" s="373"/>
      <c r="U610" s="373"/>
      <c r="V610" s="373"/>
    </row>
    <row r="611" spans="6:22" ht="58.5" customHeight="1" x14ac:dyDescent="0.3">
      <c r="F611" s="373"/>
      <c r="G611" s="373"/>
      <c r="H611" s="373"/>
      <c r="I611" s="373"/>
      <c r="J611" s="373"/>
      <c r="K611" s="374"/>
      <c r="L611" s="373"/>
      <c r="M611" s="373"/>
      <c r="N611" s="373"/>
      <c r="O611" s="373"/>
      <c r="P611" s="373"/>
      <c r="Q611" s="373"/>
      <c r="R611" s="373"/>
      <c r="S611" s="373"/>
      <c r="T611" s="373"/>
      <c r="U611" s="373"/>
      <c r="V611" s="373"/>
    </row>
    <row r="612" spans="6:22" ht="58.5" customHeight="1" x14ac:dyDescent="0.3">
      <c r="F612" s="373"/>
      <c r="G612" s="373"/>
      <c r="H612" s="373"/>
      <c r="I612" s="373"/>
      <c r="J612" s="373"/>
      <c r="K612" s="374"/>
      <c r="L612" s="373"/>
      <c r="M612" s="373"/>
      <c r="N612" s="373"/>
      <c r="O612" s="373"/>
      <c r="P612" s="373"/>
      <c r="Q612" s="373"/>
      <c r="R612" s="373"/>
      <c r="S612" s="373"/>
      <c r="T612" s="373"/>
      <c r="U612" s="373"/>
      <c r="V612" s="373"/>
    </row>
    <row r="613" spans="6:22" ht="58.5" customHeight="1" x14ac:dyDescent="0.3">
      <c r="F613" s="373"/>
      <c r="G613" s="373"/>
      <c r="H613" s="373"/>
      <c r="I613" s="373"/>
      <c r="J613" s="373"/>
      <c r="K613" s="374"/>
      <c r="L613" s="373"/>
      <c r="M613" s="373"/>
      <c r="N613" s="373"/>
      <c r="O613" s="373"/>
      <c r="P613" s="373"/>
      <c r="Q613" s="373"/>
      <c r="R613" s="373"/>
      <c r="S613" s="373"/>
      <c r="T613" s="373"/>
      <c r="U613" s="373"/>
      <c r="V613" s="373"/>
    </row>
    <row r="614" spans="6:22" ht="58.5" customHeight="1" x14ac:dyDescent="0.3">
      <c r="F614" s="373"/>
      <c r="G614" s="373"/>
      <c r="H614" s="373"/>
      <c r="I614" s="373"/>
      <c r="J614" s="373"/>
      <c r="K614" s="374"/>
      <c r="L614" s="373"/>
      <c r="M614" s="373"/>
      <c r="N614" s="373"/>
      <c r="O614" s="373"/>
      <c r="P614" s="373"/>
      <c r="Q614" s="373"/>
      <c r="R614" s="373"/>
      <c r="S614" s="373"/>
      <c r="T614" s="373"/>
      <c r="U614" s="373"/>
      <c r="V614" s="373"/>
    </row>
    <row r="615" spans="6:22" ht="58.5" customHeight="1" x14ac:dyDescent="0.3">
      <c r="F615" s="373"/>
      <c r="G615" s="373"/>
      <c r="H615" s="373"/>
      <c r="I615" s="373"/>
      <c r="J615" s="373"/>
      <c r="K615" s="374"/>
      <c r="L615" s="373"/>
      <c r="M615" s="373"/>
      <c r="N615" s="373"/>
      <c r="O615" s="373"/>
      <c r="P615" s="373"/>
      <c r="Q615" s="373"/>
      <c r="R615" s="373"/>
      <c r="S615" s="373"/>
      <c r="T615" s="373"/>
      <c r="U615" s="373"/>
      <c r="V615" s="373"/>
    </row>
    <row r="616" spans="6:22" ht="58.5" customHeight="1" x14ac:dyDescent="0.3">
      <c r="F616" s="373"/>
      <c r="G616" s="373"/>
      <c r="H616" s="373"/>
      <c r="I616" s="373"/>
      <c r="J616" s="373"/>
      <c r="K616" s="374"/>
      <c r="L616" s="373"/>
      <c r="M616" s="373"/>
      <c r="N616" s="373"/>
      <c r="O616" s="373"/>
      <c r="P616" s="373"/>
      <c r="Q616" s="373"/>
      <c r="R616" s="373"/>
      <c r="S616" s="373"/>
      <c r="T616" s="373"/>
      <c r="U616" s="373"/>
      <c r="V616" s="373"/>
    </row>
    <row r="617" spans="6:22" ht="58.5" customHeight="1" x14ac:dyDescent="0.3">
      <c r="F617" s="373"/>
      <c r="G617" s="373"/>
      <c r="H617" s="373"/>
      <c r="I617" s="373"/>
      <c r="J617" s="373"/>
      <c r="K617" s="374"/>
      <c r="L617" s="373"/>
      <c r="M617" s="373"/>
      <c r="N617" s="373"/>
      <c r="O617" s="373"/>
      <c r="P617" s="373"/>
      <c r="Q617" s="373"/>
      <c r="R617" s="373"/>
      <c r="S617" s="373"/>
      <c r="T617" s="373"/>
      <c r="U617" s="373"/>
      <c r="V617" s="373"/>
    </row>
    <row r="618" spans="6:22" ht="58.5" customHeight="1" x14ac:dyDescent="0.3">
      <c r="F618" s="373"/>
      <c r="G618" s="373"/>
      <c r="H618" s="373"/>
      <c r="I618" s="373"/>
      <c r="J618" s="373"/>
      <c r="K618" s="374"/>
      <c r="L618" s="373"/>
      <c r="M618" s="373"/>
      <c r="N618" s="373"/>
      <c r="O618" s="373"/>
      <c r="P618" s="373"/>
      <c r="Q618" s="373"/>
      <c r="R618" s="373"/>
      <c r="S618" s="373"/>
      <c r="T618" s="373"/>
      <c r="U618" s="373"/>
      <c r="V618" s="373"/>
    </row>
    <row r="619" spans="6:22" ht="58.5" customHeight="1" x14ac:dyDescent="0.3">
      <c r="F619" s="373"/>
      <c r="G619" s="373"/>
      <c r="H619" s="373"/>
      <c r="I619" s="373"/>
      <c r="J619" s="373"/>
      <c r="K619" s="374"/>
      <c r="L619" s="373"/>
      <c r="M619" s="373"/>
      <c r="N619" s="373"/>
      <c r="O619" s="373"/>
      <c r="P619" s="373"/>
      <c r="Q619" s="373"/>
      <c r="R619" s="373"/>
      <c r="S619" s="373"/>
      <c r="T619" s="373"/>
      <c r="U619" s="373"/>
      <c r="V619" s="373"/>
    </row>
    <row r="620" spans="6:22" ht="58.5" customHeight="1" x14ac:dyDescent="0.3">
      <c r="F620" s="373"/>
      <c r="G620" s="373"/>
      <c r="H620" s="373"/>
      <c r="I620" s="373"/>
      <c r="J620" s="373"/>
      <c r="K620" s="374"/>
      <c r="L620" s="373"/>
      <c r="M620" s="373"/>
      <c r="N620" s="373"/>
      <c r="O620" s="373"/>
      <c r="P620" s="373"/>
      <c r="Q620" s="373"/>
      <c r="R620" s="373"/>
      <c r="S620" s="373"/>
      <c r="T620" s="373"/>
      <c r="U620" s="373"/>
      <c r="V620" s="373"/>
    </row>
    <row r="621" spans="6:22" ht="58.5" customHeight="1" x14ac:dyDescent="0.3">
      <c r="F621" s="373"/>
      <c r="G621" s="373"/>
      <c r="H621" s="373"/>
      <c r="I621" s="373"/>
      <c r="J621" s="373"/>
      <c r="K621" s="374"/>
      <c r="L621" s="373"/>
      <c r="M621" s="373"/>
      <c r="N621" s="373"/>
      <c r="O621" s="373"/>
      <c r="P621" s="373"/>
      <c r="Q621" s="373"/>
      <c r="R621" s="373"/>
      <c r="S621" s="373"/>
      <c r="T621" s="373"/>
      <c r="U621" s="373"/>
      <c r="V621" s="373"/>
    </row>
    <row r="622" spans="6:22" ht="58.5" customHeight="1" x14ac:dyDescent="0.3">
      <c r="F622" s="373"/>
      <c r="G622" s="373"/>
      <c r="H622" s="373"/>
      <c r="I622" s="373"/>
      <c r="J622" s="373"/>
      <c r="K622" s="374"/>
      <c r="L622" s="373"/>
      <c r="M622" s="373"/>
      <c r="N622" s="373"/>
      <c r="O622" s="373"/>
      <c r="P622" s="373"/>
      <c r="Q622" s="373"/>
      <c r="R622" s="373"/>
      <c r="S622" s="373"/>
      <c r="T622" s="373"/>
      <c r="U622" s="373"/>
      <c r="V622" s="373"/>
    </row>
    <row r="623" spans="6:22" ht="58.5" customHeight="1" x14ac:dyDescent="0.3">
      <c r="F623" s="373"/>
      <c r="G623" s="373"/>
      <c r="H623" s="373"/>
      <c r="I623" s="373"/>
      <c r="J623" s="373"/>
      <c r="K623" s="374"/>
      <c r="L623" s="373"/>
      <c r="M623" s="373"/>
      <c r="N623" s="373"/>
      <c r="O623" s="373"/>
      <c r="P623" s="373"/>
      <c r="Q623" s="373"/>
      <c r="R623" s="373"/>
      <c r="S623" s="373"/>
      <c r="T623" s="373"/>
      <c r="U623" s="373"/>
      <c r="V623" s="373"/>
    </row>
    <row r="624" spans="6:22" ht="58.5" customHeight="1" x14ac:dyDescent="0.3">
      <c r="F624" s="373"/>
      <c r="G624" s="373"/>
      <c r="H624" s="373"/>
      <c r="I624" s="373"/>
      <c r="J624" s="373"/>
      <c r="K624" s="374"/>
      <c r="L624" s="373"/>
      <c r="M624" s="373"/>
      <c r="N624" s="373"/>
      <c r="O624" s="373"/>
      <c r="P624" s="373"/>
      <c r="Q624" s="373"/>
      <c r="R624" s="373"/>
      <c r="S624" s="373"/>
      <c r="T624" s="373"/>
      <c r="U624" s="373"/>
      <c r="V624" s="373"/>
    </row>
    <row r="625" spans="6:22" ht="58.5" customHeight="1" x14ac:dyDescent="0.3">
      <c r="F625" s="373"/>
      <c r="G625" s="373"/>
      <c r="H625" s="373"/>
      <c r="I625" s="373"/>
      <c r="J625" s="373"/>
      <c r="K625" s="374"/>
      <c r="L625" s="373"/>
      <c r="M625" s="373"/>
      <c r="N625" s="373"/>
      <c r="O625" s="373"/>
      <c r="P625" s="373"/>
      <c r="Q625" s="373"/>
      <c r="R625" s="373"/>
      <c r="S625" s="373"/>
      <c r="T625" s="373"/>
      <c r="U625" s="373"/>
      <c r="V625" s="373"/>
    </row>
    <row r="626" spans="6:22" ht="58.5" customHeight="1" x14ac:dyDescent="0.3">
      <c r="F626" s="373"/>
      <c r="G626" s="373"/>
      <c r="H626" s="373"/>
      <c r="I626" s="373"/>
      <c r="J626" s="373"/>
      <c r="K626" s="374"/>
      <c r="L626" s="373"/>
      <c r="M626" s="373"/>
      <c r="N626" s="373"/>
      <c r="O626" s="373"/>
      <c r="P626" s="373"/>
      <c r="Q626" s="373"/>
      <c r="R626" s="373"/>
      <c r="S626" s="373"/>
      <c r="T626" s="373"/>
      <c r="U626" s="373"/>
      <c r="V626" s="373"/>
    </row>
    <row r="627" spans="6:22" ht="58.5" customHeight="1" x14ac:dyDescent="0.3">
      <c r="F627" s="373"/>
      <c r="G627" s="373"/>
      <c r="H627" s="373"/>
      <c r="I627" s="373"/>
      <c r="J627" s="373"/>
      <c r="K627" s="374"/>
      <c r="L627" s="373"/>
      <c r="M627" s="373"/>
      <c r="N627" s="373"/>
      <c r="O627" s="373"/>
      <c r="P627" s="373"/>
      <c r="Q627" s="373"/>
      <c r="R627" s="373"/>
      <c r="S627" s="373"/>
      <c r="T627" s="373"/>
      <c r="U627" s="373"/>
      <c r="V627" s="373"/>
    </row>
    <row r="628" spans="6:22" ht="58.5" customHeight="1" x14ac:dyDescent="0.3">
      <c r="F628" s="373"/>
      <c r="G628" s="373"/>
      <c r="H628" s="373"/>
      <c r="I628" s="373"/>
      <c r="J628" s="373"/>
      <c r="K628" s="374"/>
      <c r="L628" s="373"/>
      <c r="M628" s="373"/>
      <c r="N628" s="373"/>
      <c r="O628" s="373"/>
      <c r="P628" s="373"/>
      <c r="Q628" s="373"/>
      <c r="R628" s="373"/>
      <c r="S628" s="373"/>
      <c r="T628" s="373"/>
      <c r="U628" s="373"/>
      <c r="V628" s="373"/>
    </row>
    <row r="629" spans="6:22" ht="58.5" customHeight="1" x14ac:dyDescent="0.3">
      <c r="F629" s="373"/>
      <c r="G629" s="373"/>
      <c r="H629" s="373"/>
      <c r="I629" s="373"/>
      <c r="J629" s="373"/>
      <c r="K629" s="374"/>
      <c r="L629" s="373"/>
      <c r="M629" s="373"/>
      <c r="N629" s="373"/>
      <c r="O629" s="373"/>
      <c r="P629" s="373"/>
      <c r="Q629" s="373"/>
      <c r="R629" s="373"/>
      <c r="S629" s="373"/>
      <c r="T629" s="373"/>
      <c r="U629" s="373"/>
      <c r="V629" s="373"/>
    </row>
    <row r="630" spans="6:22" ht="58.5" customHeight="1" x14ac:dyDescent="0.3">
      <c r="F630" s="373"/>
      <c r="G630" s="373"/>
      <c r="H630" s="373"/>
      <c r="I630" s="373"/>
      <c r="J630" s="373"/>
      <c r="K630" s="374"/>
      <c r="L630" s="373"/>
      <c r="M630" s="373"/>
      <c r="N630" s="373"/>
      <c r="O630" s="373"/>
      <c r="P630" s="373"/>
      <c r="Q630" s="373"/>
      <c r="R630" s="373"/>
      <c r="S630" s="373"/>
      <c r="T630" s="373"/>
      <c r="U630" s="373"/>
      <c r="V630" s="373"/>
    </row>
    <row r="631" spans="6:22" ht="58.5" customHeight="1" x14ac:dyDescent="0.3">
      <c r="F631" s="373"/>
      <c r="G631" s="373"/>
      <c r="H631" s="373"/>
      <c r="I631" s="373"/>
      <c r="J631" s="373"/>
      <c r="K631" s="374"/>
      <c r="L631" s="373"/>
      <c r="M631" s="373"/>
      <c r="N631" s="373"/>
      <c r="O631" s="373"/>
      <c r="P631" s="373"/>
      <c r="Q631" s="373"/>
      <c r="R631" s="373"/>
      <c r="S631" s="373"/>
      <c r="T631" s="373"/>
      <c r="U631" s="373"/>
      <c r="V631" s="373"/>
    </row>
    <row r="632" spans="6:22" ht="58.5" customHeight="1" x14ac:dyDescent="0.3">
      <c r="F632" s="373"/>
      <c r="G632" s="373"/>
      <c r="H632" s="373"/>
      <c r="I632" s="373"/>
      <c r="J632" s="373"/>
      <c r="K632" s="374"/>
      <c r="L632" s="373"/>
      <c r="M632" s="373"/>
      <c r="N632" s="373"/>
      <c r="O632" s="373"/>
      <c r="P632" s="373"/>
      <c r="Q632" s="373"/>
      <c r="R632" s="373"/>
      <c r="S632" s="373"/>
      <c r="T632" s="373"/>
      <c r="U632" s="373"/>
      <c r="V632" s="373"/>
    </row>
    <row r="633" spans="6:22" ht="58.5" customHeight="1" x14ac:dyDescent="0.3">
      <c r="F633" s="373"/>
      <c r="G633" s="373"/>
      <c r="H633" s="373"/>
      <c r="I633" s="373"/>
      <c r="J633" s="373"/>
      <c r="K633" s="374"/>
      <c r="L633" s="373"/>
      <c r="M633" s="373"/>
      <c r="N633" s="373"/>
      <c r="O633" s="373"/>
      <c r="P633" s="373"/>
      <c r="Q633" s="373"/>
      <c r="R633" s="373"/>
      <c r="S633" s="373"/>
      <c r="T633" s="373"/>
      <c r="U633" s="373"/>
      <c r="V633" s="373"/>
    </row>
    <row r="634" spans="6:22" ht="58.5" customHeight="1" x14ac:dyDescent="0.3">
      <c r="F634" s="373"/>
      <c r="G634" s="373"/>
      <c r="H634" s="373"/>
      <c r="I634" s="373"/>
      <c r="J634" s="373"/>
      <c r="K634" s="374"/>
      <c r="L634" s="373"/>
      <c r="M634" s="373"/>
      <c r="N634" s="373"/>
      <c r="O634" s="373"/>
      <c r="P634" s="373"/>
      <c r="Q634" s="373"/>
      <c r="R634" s="373"/>
      <c r="S634" s="373"/>
      <c r="T634" s="373"/>
      <c r="U634" s="373"/>
      <c r="V634" s="373"/>
    </row>
    <row r="635" spans="6:22" ht="58.5" customHeight="1" x14ac:dyDescent="0.3">
      <c r="F635" s="373"/>
      <c r="G635" s="373"/>
      <c r="H635" s="373"/>
      <c r="I635" s="373"/>
      <c r="J635" s="373"/>
      <c r="K635" s="374"/>
      <c r="L635" s="373"/>
      <c r="M635" s="373"/>
      <c r="N635" s="373"/>
      <c r="O635" s="373"/>
      <c r="P635" s="373"/>
      <c r="Q635" s="373"/>
      <c r="R635" s="373"/>
      <c r="S635" s="373"/>
      <c r="T635" s="373"/>
      <c r="U635" s="373"/>
      <c r="V635" s="373"/>
    </row>
    <row r="636" spans="6:22" ht="58.5" customHeight="1" x14ac:dyDescent="0.3">
      <c r="F636" s="373"/>
      <c r="G636" s="373"/>
      <c r="H636" s="373"/>
      <c r="I636" s="373"/>
      <c r="J636" s="373"/>
      <c r="K636" s="374"/>
      <c r="L636" s="373"/>
      <c r="M636" s="373"/>
      <c r="N636" s="373"/>
      <c r="O636" s="373"/>
      <c r="P636" s="373"/>
      <c r="Q636" s="373"/>
      <c r="R636" s="373"/>
      <c r="S636" s="373"/>
      <c r="T636" s="373"/>
      <c r="U636" s="373"/>
      <c r="V636" s="373"/>
    </row>
    <row r="637" spans="6:22" ht="58.5" customHeight="1" x14ac:dyDescent="0.3">
      <c r="F637" s="373"/>
      <c r="G637" s="373"/>
      <c r="H637" s="373"/>
      <c r="I637" s="373"/>
      <c r="J637" s="373"/>
      <c r="K637" s="374"/>
      <c r="L637" s="373"/>
      <c r="M637" s="373"/>
      <c r="N637" s="373"/>
      <c r="O637" s="373"/>
      <c r="P637" s="373"/>
      <c r="Q637" s="373"/>
      <c r="R637" s="373"/>
      <c r="S637" s="373"/>
      <c r="T637" s="373"/>
      <c r="U637" s="373"/>
      <c r="V637" s="373"/>
    </row>
    <row r="638" spans="6:22" ht="58.5" customHeight="1" x14ac:dyDescent="0.3">
      <c r="F638" s="373"/>
      <c r="G638" s="373"/>
      <c r="H638" s="373"/>
      <c r="I638" s="373"/>
      <c r="J638" s="373"/>
      <c r="K638" s="374"/>
      <c r="L638" s="373"/>
      <c r="M638" s="373"/>
      <c r="N638" s="373"/>
      <c r="O638" s="373"/>
      <c r="P638" s="373"/>
      <c r="Q638" s="373"/>
      <c r="R638" s="373"/>
      <c r="S638" s="373"/>
      <c r="T638" s="373"/>
      <c r="U638" s="373"/>
      <c r="V638" s="373"/>
    </row>
    <row r="639" spans="6:22" ht="58.5" customHeight="1" x14ac:dyDescent="0.3">
      <c r="F639" s="373"/>
      <c r="G639" s="373"/>
      <c r="H639" s="373"/>
      <c r="I639" s="373"/>
      <c r="J639" s="373"/>
      <c r="K639" s="374"/>
      <c r="L639" s="373"/>
      <c r="M639" s="373"/>
      <c r="N639" s="373"/>
      <c r="O639" s="373"/>
      <c r="P639" s="373"/>
      <c r="Q639" s="373"/>
      <c r="R639" s="373"/>
      <c r="S639" s="373"/>
      <c r="T639" s="373"/>
      <c r="U639" s="373"/>
      <c r="V639" s="373"/>
    </row>
    <row r="640" spans="6:22" ht="58.5" customHeight="1" x14ac:dyDescent="0.3">
      <c r="F640" s="373"/>
      <c r="G640" s="373"/>
      <c r="H640" s="373"/>
      <c r="I640" s="373"/>
      <c r="J640" s="373"/>
      <c r="K640" s="374"/>
      <c r="L640" s="373"/>
      <c r="M640" s="373"/>
      <c r="N640" s="373"/>
      <c r="O640" s="373"/>
      <c r="P640" s="373"/>
      <c r="Q640" s="373"/>
      <c r="R640" s="373"/>
      <c r="S640" s="373"/>
      <c r="T640" s="373"/>
      <c r="U640" s="373"/>
      <c r="V640" s="373"/>
    </row>
    <row r="641" spans="6:22" ht="58.5" customHeight="1" x14ac:dyDescent="0.3">
      <c r="F641" s="373"/>
      <c r="G641" s="373"/>
      <c r="H641" s="373"/>
      <c r="I641" s="373"/>
      <c r="J641" s="373"/>
      <c r="K641" s="374"/>
      <c r="L641" s="373"/>
      <c r="M641" s="373"/>
      <c r="N641" s="373"/>
      <c r="O641" s="373"/>
      <c r="P641" s="373"/>
      <c r="Q641" s="373"/>
      <c r="R641" s="373"/>
      <c r="S641" s="373"/>
      <c r="T641" s="373"/>
      <c r="U641" s="373"/>
      <c r="V641" s="373"/>
    </row>
    <row r="642" spans="6:22" ht="58.5" customHeight="1" x14ac:dyDescent="0.3">
      <c r="F642" s="373"/>
      <c r="G642" s="373"/>
      <c r="H642" s="373"/>
      <c r="I642" s="373"/>
      <c r="J642" s="373"/>
      <c r="K642" s="374"/>
      <c r="L642" s="373"/>
      <c r="M642" s="373"/>
      <c r="N642" s="373"/>
      <c r="O642" s="373"/>
      <c r="P642" s="373"/>
      <c r="Q642" s="373"/>
      <c r="R642" s="373"/>
      <c r="S642" s="373"/>
      <c r="T642" s="373"/>
      <c r="U642" s="373"/>
      <c r="V642" s="373"/>
    </row>
    <row r="643" spans="6:22" ht="58.5" customHeight="1" x14ac:dyDescent="0.3">
      <c r="F643" s="373"/>
      <c r="G643" s="373"/>
      <c r="H643" s="373"/>
      <c r="I643" s="373"/>
      <c r="J643" s="373"/>
      <c r="K643" s="374"/>
      <c r="L643" s="373"/>
      <c r="M643" s="373"/>
      <c r="N643" s="373"/>
      <c r="O643" s="373"/>
      <c r="P643" s="373"/>
      <c r="Q643" s="373"/>
      <c r="R643" s="373"/>
      <c r="S643" s="373"/>
      <c r="T643" s="373"/>
      <c r="U643" s="373"/>
      <c r="V643" s="373"/>
    </row>
    <row r="644" spans="6:22" ht="58.5" customHeight="1" x14ac:dyDescent="0.3">
      <c r="F644" s="373"/>
      <c r="G644" s="373"/>
      <c r="H644" s="373"/>
      <c r="I644" s="373"/>
      <c r="J644" s="373"/>
      <c r="K644" s="374"/>
      <c r="L644" s="373"/>
      <c r="M644" s="373"/>
      <c r="N644" s="373"/>
      <c r="O644" s="373"/>
      <c r="P644" s="373"/>
      <c r="Q644" s="373"/>
      <c r="R644" s="373"/>
      <c r="S644" s="373"/>
      <c r="T644" s="373"/>
      <c r="U644" s="373"/>
      <c r="V644" s="373"/>
    </row>
    <row r="645" spans="6:22" ht="58.5" customHeight="1" x14ac:dyDescent="0.3">
      <c r="F645" s="373"/>
      <c r="G645" s="373"/>
      <c r="H645" s="373"/>
      <c r="I645" s="373"/>
      <c r="J645" s="373"/>
      <c r="K645" s="374"/>
      <c r="L645" s="373"/>
      <c r="M645" s="373"/>
      <c r="N645" s="373"/>
      <c r="O645" s="373"/>
      <c r="P645" s="373"/>
      <c r="Q645" s="373"/>
      <c r="R645" s="373"/>
      <c r="S645" s="373"/>
      <c r="T645" s="373"/>
      <c r="U645" s="373"/>
      <c r="V645" s="373"/>
    </row>
    <row r="646" spans="6:22" ht="58.5" customHeight="1" x14ac:dyDescent="0.3">
      <c r="F646" s="373"/>
      <c r="G646" s="373"/>
      <c r="H646" s="373"/>
      <c r="I646" s="373"/>
      <c r="J646" s="373"/>
      <c r="K646" s="374"/>
      <c r="L646" s="373"/>
      <c r="M646" s="373"/>
      <c r="N646" s="373"/>
      <c r="O646" s="373"/>
      <c r="P646" s="373"/>
      <c r="Q646" s="373"/>
      <c r="R646" s="373"/>
      <c r="S646" s="373"/>
      <c r="T646" s="373"/>
      <c r="U646" s="373"/>
      <c r="V646" s="373"/>
    </row>
    <row r="647" spans="6:22" ht="58.5" customHeight="1" x14ac:dyDescent="0.3">
      <c r="F647" s="373"/>
      <c r="G647" s="373"/>
      <c r="H647" s="373"/>
      <c r="I647" s="373"/>
      <c r="J647" s="373"/>
      <c r="K647" s="374"/>
      <c r="L647" s="373"/>
      <c r="M647" s="373"/>
      <c r="N647" s="373"/>
      <c r="O647" s="373"/>
      <c r="P647" s="373"/>
      <c r="Q647" s="373"/>
      <c r="R647" s="373"/>
      <c r="S647" s="373"/>
      <c r="T647" s="373"/>
      <c r="U647" s="373"/>
      <c r="V647" s="373"/>
    </row>
    <row r="648" spans="6:22" ht="58.5" customHeight="1" x14ac:dyDescent="0.3">
      <c r="F648" s="373"/>
      <c r="G648" s="373"/>
      <c r="H648" s="373"/>
      <c r="I648" s="373"/>
      <c r="J648" s="373"/>
      <c r="K648" s="374"/>
      <c r="L648" s="373"/>
      <c r="M648" s="373"/>
      <c r="N648" s="373"/>
      <c r="O648" s="373"/>
      <c r="P648" s="373"/>
      <c r="Q648" s="373"/>
      <c r="R648" s="373"/>
      <c r="S648" s="373"/>
      <c r="T648" s="373"/>
      <c r="U648" s="373"/>
      <c r="V648" s="373"/>
    </row>
    <row r="649" spans="6:22" ht="58.5" customHeight="1" x14ac:dyDescent="0.3">
      <c r="F649" s="373"/>
      <c r="G649" s="373"/>
      <c r="H649" s="373"/>
      <c r="I649" s="373"/>
      <c r="J649" s="373"/>
      <c r="K649" s="374"/>
      <c r="L649" s="373"/>
      <c r="M649" s="373"/>
      <c r="N649" s="373"/>
      <c r="O649" s="373"/>
      <c r="P649" s="373"/>
      <c r="Q649" s="373"/>
      <c r="R649" s="373"/>
      <c r="S649" s="373"/>
      <c r="T649" s="373"/>
      <c r="U649" s="373"/>
      <c r="V649" s="373"/>
    </row>
    <row r="650" spans="6:22" ht="58.5" customHeight="1" x14ac:dyDescent="0.3">
      <c r="F650" s="373"/>
      <c r="G650" s="373"/>
      <c r="H650" s="373"/>
      <c r="I650" s="373"/>
      <c r="J650" s="373"/>
      <c r="K650" s="374"/>
      <c r="L650" s="373"/>
      <c r="M650" s="373"/>
      <c r="N650" s="373"/>
      <c r="O650" s="373"/>
      <c r="P650" s="373"/>
      <c r="Q650" s="373"/>
      <c r="R650" s="373"/>
      <c r="S650" s="373"/>
      <c r="T650" s="373"/>
      <c r="U650" s="373"/>
      <c r="V650" s="373"/>
    </row>
    <row r="651" spans="6:22" ht="58.5" customHeight="1" x14ac:dyDescent="0.3">
      <c r="F651" s="373"/>
      <c r="G651" s="373"/>
      <c r="H651" s="373"/>
      <c r="I651" s="373"/>
      <c r="J651" s="373"/>
      <c r="K651" s="374"/>
      <c r="L651" s="373"/>
      <c r="M651" s="373"/>
      <c r="N651" s="373"/>
      <c r="O651" s="373"/>
      <c r="P651" s="373"/>
      <c r="Q651" s="373"/>
      <c r="R651" s="373"/>
      <c r="S651" s="373"/>
      <c r="T651" s="373"/>
      <c r="U651" s="373"/>
      <c r="V651" s="373"/>
    </row>
    <row r="652" spans="6:22" ht="58.5" customHeight="1" x14ac:dyDescent="0.3">
      <c r="F652" s="373"/>
      <c r="G652" s="373"/>
      <c r="H652" s="373"/>
      <c r="I652" s="373"/>
      <c r="J652" s="373"/>
      <c r="K652" s="374"/>
      <c r="L652" s="373"/>
      <c r="M652" s="373"/>
      <c r="N652" s="373"/>
      <c r="O652" s="373"/>
      <c r="P652" s="373"/>
      <c r="Q652" s="373"/>
      <c r="R652" s="373"/>
      <c r="S652" s="373"/>
      <c r="T652" s="373"/>
      <c r="U652" s="373"/>
      <c r="V652" s="373"/>
    </row>
    <row r="653" spans="6:22" ht="58.5" customHeight="1" x14ac:dyDescent="0.3">
      <c r="F653" s="373"/>
      <c r="G653" s="373"/>
      <c r="H653" s="373"/>
      <c r="I653" s="373"/>
      <c r="J653" s="373"/>
      <c r="K653" s="374"/>
      <c r="L653" s="373"/>
      <c r="M653" s="373"/>
      <c r="N653" s="373"/>
      <c r="O653" s="373"/>
      <c r="P653" s="373"/>
      <c r="Q653" s="373"/>
      <c r="R653" s="373"/>
      <c r="S653" s="373"/>
      <c r="T653" s="373"/>
      <c r="U653" s="373"/>
      <c r="V653" s="373"/>
    </row>
    <row r="654" spans="6:22" ht="58.5" customHeight="1" x14ac:dyDescent="0.3">
      <c r="F654" s="373"/>
      <c r="G654" s="373"/>
      <c r="H654" s="373"/>
      <c r="I654" s="373"/>
      <c r="J654" s="373"/>
      <c r="K654" s="374"/>
      <c r="L654" s="373"/>
      <c r="M654" s="373"/>
      <c r="N654" s="373"/>
      <c r="O654" s="373"/>
      <c r="P654" s="373"/>
      <c r="Q654" s="373"/>
      <c r="R654" s="373"/>
      <c r="S654" s="373"/>
      <c r="T654" s="373"/>
      <c r="U654" s="373"/>
      <c r="V654" s="373"/>
    </row>
    <row r="655" spans="6:22" ht="58.5" customHeight="1" x14ac:dyDescent="0.3">
      <c r="F655" s="373"/>
      <c r="G655" s="373"/>
      <c r="H655" s="373"/>
      <c r="I655" s="373"/>
      <c r="J655" s="373"/>
      <c r="K655" s="374"/>
      <c r="L655" s="373"/>
      <c r="M655" s="373"/>
      <c r="N655" s="373"/>
      <c r="O655" s="373"/>
      <c r="P655" s="373"/>
      <c r="Q655" s="373"/>
      <c r="R655" s="373"/>
      <c r="S655" s="373"/>
      <c r="T655" s="373"/>
      <c r="U655" s="373"/>
      <c r="V655" s="373"/>
    </row>
    <row r="656" spans="6:22" ht="58.5" customHeight="1" x14ac:dyDescent="0.3">
      <c r="F656" s="373"/>
      <c r="G656" s="373"/>
      <c r="H656" s="373"/>
      <c r="I656" s="373"/>
      <c r="J656" s="373"/>
      <c r="K656" s="374"/>
      <c r="L656" s="373"/>
      <c r="M656" s="373"/>
      <c r="N656" s="373"/>
      <c r="O656" s="373"/>
      <c r="P656" s="373"/>
      <c r="Q656" s="373"/>
      <c r="R656" s="373"/>
      <c r="S656" s="373"/>
      <c r="T656" s="373"/>
      <c r="U656" s="373"/>
      <c r="V656" s="373"/>
    </row>
    <row r="657" spans="6:22" ht="58.5" customHeight="1" x14ac:dyDescent="0.3">
      <c r="F657" s="373"/>
      <c r="G657" s="373"/>
      <c r="H657" s="373"/>
      <c r="I657" s="373"/>
      <c r="J657" s="373"/>
      <c r="K657" s="374"/>
      <c r="L657" s="373"/>
      <c r="M657" s="373"/>
      <c r="N657" s="373"/>
      <c r="O657" s="373"/>
      <c r="P657" s="373"/>
      <c r="Q657" s="373"/>
      <c r="R657" s="373"/>
      <c r="S657" s="373"/>
      <c r="T657" s="373"/>
      <c r="U657" s="373"/>
      <c r="V657" s="373"/>
    </row>
    <row r="658" spans="6:22" ht="58.5" customHeight="1" x14ac:dyDescent="0.3">
      <c r="F658" s="373"/>
      <c r="G658" s="373"/>
      <c r="H658" s="373"/>
      <c r="I658" s="373"/>
      <c r="J658" s="373"/>
      <c r="K658" s="374"/>
      <c r="L658" s="373"/>
      <c r="M658" s="373"/>
      <c r="N658" s="373"/>
      <c r="O658" s="373"/>
      <c r="P658" s="373"/>
      <c r="Q658" s="373"/>
      <c r="R658" s="373"/>
      <c r="S658" s="373"/>
      <c r="T658" s="373"/>
      <c r="U658" s="373"/>
      <c r="V658" s="373"/>
    </row>
    <row r="659" spans="6:22" ht="58.5" customHeight="1" x14ac:dyDescent="0.3">
      <c r="F659" s="373"/>
      <c r="G659" s="373"/>
      <c r="H659" s="373"/>
      <c r="I659" s="373"/>
      <c r="J659" s="373"/>
      <c r="K659" s="374"/>
      <c r="L659" s="373"/>
      <c r="M659" s="373"/>
      <c r="N659" s="373"/>
      <c r="O659" s="373"/>
      <c r="P659" s="373"/>
      <c r="Q659" s="373"/>
      <c r="R659" s="373"/>
      <c r="S659" s="373"/>
      <c r="T659" s="373"/>
      <c r="U659" s="373"/>
      <c r="V659" s="373"/>
    </row>
    <row r="660" spans="6:22" ht="58.5" customHeight="1" x14ac:dyDescent="0.3">
      <c r="F660" s="373"/>
      <c r="G660" s="373"/>
      <c r="H660" s="373"/>
      <c r="I660" s="373"/>
      <c r="J660" s="373"/>
      <c r="K660" s="374"/>
      <c r="L660" s="373"/>
      <c r="M660" s="373"/>
      <c r="N660" s="373"/>
      <c r="O660" s="373"/>
      <c r="P660" s="373"/>
      <c r="Q660" s="373"/>
      <c r="R660" s="373"/>
      <c r="S660" s="373"/>
      <c r="T660" s="373"/>
      <c r="U660" s="373"/>
      <c r="V660" s="373"/>
    </row>
    <row r="661" spans="6:22" ht="58.5" customHeight="1" x14ac:dyDescent="0.3">
      <c r="F661" s="373"/>
      <c r="G661" s="373"/>
      <c r="H661" s="373"/>
      <c r="I661" s="373"/>
      <c r="J661" s="373"/>
      <c r="K661" s="374"/>
      <c r="L661" s="373"/>
      <c r="M661" s="373"/>
      <c r="N661" s="373"/>
      <c r="O661" s="373"/>
      <c r="P661" s="373"/>
      <c r="Q661" s="373"/>
      <c r="R661" s="373"/>
      <c r="S661" s="373"/>
      <c r="T661" s="373"/>
      <c r="U661" s="373"/>
      <c r="V661" s="373"/>
    </row>
    <row r="662" spans="6:22" ht="58.5" customHeight="1" x14ac:dyDescent="0.3">
      <c r="F662" s="373"/>
      <c r="G662" s="373"/>
      <c r="H662" s="373"/>
      <c r="I662" s="373"/>
      <c r="J662" s="373"/>
      <c r="K662" s="374"/>
      <c r="L662" s="373"/>
      <c r="M662" s="373"/>
      <c r="N662" s="373"/>
      <c r="O662" s="373"/>
      <c r="P662" s="373"/>
      <c r="Q662" s="373"/>
      <c r="R662" s="373"/>
      <c r="S662" s="373"/>
      <c r="T662" s="373"/>
      <c r="U662" s="373"/>
      <c r="V662" s="373"/>
    </row>
    <row r="663" spans="6:22" ht="58.5" customHeight="1" x14ac:dyDescent="0.3">
      <c r="F663" s="373"/>
      <c r="G663" s="373"/>
      <c r="H663" s="373"/>
      <c r="I663" s="373"/>
      <c r="J663" s="373"/>
      <c r="K663" s="374"/>
      <c r="L663" s="373"/>
      <c r="M663" s="373"/>
      <c r="N663" s="373"/>
      <c r="O663" s="373"/>
      <c r="P663" s="373"/>
      <c r="Q663" s="373"/>
      <c r="R663" s="373"/>
      <c r="S663" s="373"/>
      <c r="T663" s="373"/>
      <c r="U663" s="373"/>
      <c r="V663" s="373"/>
    </row>
    <row r="664" spans="6:22" ht="58.5" customHeight="1" x14ac:dyDescent="0.3">
      <c r="F664" s="373"/>
      <c r="G664" s="373"/>
      <c r="H664" s="373"/>
      <c r="I664" s="373"/>
      <c r="J664" s="373"/>
      <c r="K664" s="374"/>
      <c r="L664" s="373"/>
      <c r="M664" s="373"/>
      <c r="N664" s="373"/>
      <c r="O664" s="373"/>
      <c r="P664" s="373"/>
      <c r="Q664" s="373"/>
      <c r="R664" s="373"/>
      <c r="S664" s="373"/>
      <c r="T664" s="373"/>
      <c r="U664" s="373"/>
      <c r="V664" s="373"/>
    </row>
    <row r="665" spans="6:22" ht="58.5" customHeight="1" x14ac:dyDescent="0.3">
      <c r="F665" s="373"/>
      <c r="G665" s="373"/>
      <c r="H665" s="373"/>
      <c r="I665" s="373"/>
      <c r="J665" s="373"/>
      <c r="K665" s="374"/>
      <c r="L665" s="373"/>
      <c r="M665" s="373"/>
      <c r="N665" s="373"/>
      <c r="O665" s="373"/>
      <c r="P665" s="373"/>
      <c r="Q665" s="373"/>
      <c r="R665" s="373"/>
      <c r="S665" s="373"/>
      <c r="T665" s="373"/>
      <c r="U665" s="373"/>
      <c r="V665" s="373"/>
    </row>
    <row r="666" spans="6:22" ht="58.5" customHeight="1" x14ac:dyDescent="0.3">
      <c r="F666" s="373"/>
      <c r="G666" s="373"/>
      <c r="H666" s="373"/>
      <c r="I666" s="373"/>
      <c r="J666" s="373"/>
      <c r="K666" s="374"/>
      <c r="L666" s="373"/>
      <c r="M666" s="373"/>
      <c r="N666" s="373"/>
      <c r="O666" s="373"/>
      <c r="P666" s="373"/>
      <c r="Q666" s="373"/>
      <c r="R666" s="373"/>
      <c r="S666" s="373"/>
      <c r="T666" s="373"/>
      <c r="U666" s="373"/>
      <c r="V666" s="373"/>
    </row>
    <row r="667" spans="6:22" ht="58.5" customHeight="1" x14ac:dyDescent="0.3">
      <c r="F667" s="373"/>
      <c r="G667" s="373"/>
      <c r="H667" s="373"/>
      <c r="I667" s="373"/>
      <c r="J667" s="373"/>
      <c r="K667" s="374"/>
      <c r="L667" s="373"/>
      <c r="M667" s="373"/>
      <c r="N667" s="373"/>
      <c r="O667" s="373"/>
      <c r="P667" s="373"/>
      <c r="Q667" s="373"/>
      <c r="R667" s="373"/>
      <c r="S667" s="373"/>
      <c r="T667" s="373"/>
      <c r="U667" s="373"/>
      <c r="V667" s="373"/>
    </row>
    <row r="668" spans="6:22" ht="58.5" customHeight="1" x14ac:dyDescent="0.3">
      <c r="F668" s="373"/>
      <c r="G668" s="373"/>
      <c r="H668" s="373"/>
      <c r="I668" s="373"/>
      <c r="J668" s="373"/>
      <c r="K668" s="374"/>
      <c r="L668" s="373"/>
      <c r="M668" s="373"/>
      <c r="N668" s="373"/>
      <c r="O668" s="373"/>
      <c r="P668" s="373"/>
      <c r="Q668" s="373"/>
      <c r="R668" s="373"/>
      <c r="S668" s="373"/>
      <c r="T668" s="373"/>
      <c r="U668" s="373"/>
      <c r="V668" s="373"/>
    </row>
    <row r="669" spans="6:22" ht="58.5" customHeight="1" x14ac:dyDescent="0.3">
      <c r="F669" s="373"/>
      <c r="G669" s="373"/>
      <c r="H669" s="373"/>
      <c r="I669" s="373"/>
      <c r="J669" s="373"/>
      <c r="K669" s="374"/>
      <c r="L669" s="373"/>
      <c r="M669" s="373"/>
      <c r="N669" s="373"/>
      <c r="O669" s="373"/>
      <c r="P669" s="373"/>
      <c r="Q669" s="373"/>
      <c r="R669" s="373"/>
      <c r="S669" s="373"/>
      <c r="T669" s="373"/>
      <c r="U669" s="373"/>
      <c r="V669" s="373"/>
    </row>
    <row r="670" spans="6:22" ht="58.5" customHeight="1" x14ac:dyDescent="0.3">
      <c r="F670" s="373"/>
      <c r="G670" s="373"/>
      <c r="H670" s="373"/>
      <c r="I670" s="373"/>
      <c r="J670" s="373"/>
      <c r="K670" s="374"/>
      <c r="L670" s="373"/>
      <c r="M670" s="373"/>
      <c r="N670" s="373"/>
      <c r="O670" s="373"/>
      <c r="P670" s="373"/>
      <c r="Q670" s="373"/>
      <c r="R670" s="373"/>
      <c r="S670" s="373"/>
      <c r="T670" s="373"/>
      <c r="U670" s="373"/>
      <c r="V670" s="373"/>
    </row>
    <row r="671" spans="6:22" ht="58.5" customHeight="1" x14ac:dyDescent="0.3">
      <c r="F671" s="373"/>
      <c r="G671" s="373"/>
      <c r="H671" s="373"/>
      <c r="I671" s="373"/>
      <c r="J671" s="373"/>
      <c r="K671" s="374"/>
      <c r="L671" s="373"/>
      <c r="M671" s="373"/>
      <c r="N671" s="373"/>
      <c r="O671" s="373"/>
      <c r="P671" s="373"/>
      <c r="Q671" s="373"/>
      <c r="R671" s="373"/>
      <c r="S671" s="373"/>
      <c r="T671" s="373"/>
      <c r="U671" s="373"/>
      <c r="V671" s="373"/>
    </row>
    <row r="672" spans="6:22" ht="58.5" customHeight="1" x14ac:dyDescent="0.3">
      <c r="F672" s="373"/>
      <c r="G672" s="373"/>
      <c r="H672" s="373"/>
      <c r="I672" s="373"/>
      <c r="J672" s="373"/>
      <c r="K672" s="374"/>
      <c r="L672" s="373"/>
      <c r="M672" s="373"/>
      <c r="N672" s="373"/>
      <c r="O672" s="373"/>
      <c r="P672" s="373"/>
      <c r="Q672" s="373"/>
      <c r="R672" s="373"/>
      <c r="S672" s="373"/>
      <c r="T672" s="373"/>
      <c r="U672" s="373"/>
      <c r="V672" s="373"/>
    </row>
    <row r="673" spans="6:22" ht="58.5" customHeight="1" x14ac:dyDescent="0.3">
      <c r="F673" s="373"/>
      <c r="G673" s="373"/>
      <c r="H673" s="373"/>
      <c r="I673" s="373"/>
      <c r="J673" s="373"/>
      <c r="K673" s="374"/>
      <c r="L673" s="373"/>
      <c r="M673" s="373"/>
      <c r="N673" s="373"/>
      <c r="O673" s="373"/>
      <c r="P673" s="373"/>
      <c r="Q673" s="373"/>
      <c r="R673" s="373"/>
      <c r="S673" s="373"/>
      <c r="T673" s="373"/>
      <c r="U673" s="373"/>
      <c r="V673" s="373"/>
    </row>
    <row r="674" spans="6:22" ht="58.5" customHeight="1" x14ac:dyDescent="0.3">
      <c r="F674" s="373"/>
      <c r="G674" s="373"/>
      <c r="H674" s="373"/>
      <c r="I674" s="373"/>
      <c r="J674" s="373"/>
      <c r="K674" s="374"/>
      <c r="L674" s="373"/>
      <c r="M674" s="373"/>
      <c r="N674" s="373"/>
      <c r="O674" s="373"/>
      <c r="P674" s="373"/>
      <c r="Q674" s="373"/>
      <c r="R674" s="373"/>
      <c r="S674" s="373"/>
      <c r="T674" s="373"/>
      <c r="U674" s="373"/>
      <c r="V674" s="373"/>
    </row>
    <row r="675" spans="6:22" ht="58.5" customHeight="1" x14ac:dyDescent="0.3">
      <c r="F675" s="373"/>
      <c r="G675" s="373"/>
      <c r="H675" s="373"/>
      <c r="I675" s="373"/>
      <c r="J675" s="373"/>
      <c r="K675" s="374"/>
      <c r="L675" s="373"/>
      <c r="M675" s="373"/>
      <c r="N675" s="373"/>
      <c r="O675" s="373"/>
      <c r="P675" s="373"/>
      <c r="Q675" s="373"/>
      <c r="R675" s="373"/>
      <c r="S675" s="373"/>
      <c r="T675" s="373"/>
      <c r="U675" s="373"/>
      <c r="V675" s="373"/>
    </row>
    <row r="676" spans="6:22" ht="58.5" customHeight="1" x14ac:dyDescent="0.3">
      <c r="F676" s="373"/>
      <c r="G676" s="373"/>
      <c r="H676" s="373"/>
      <c r="I676" s="373"/>
      <c r="J676" s="373"/>
      <c r="K676" s="374"/>
      <c r="L676" s="373"/>
      <c r="M676" s="373"/>
      <c r="N676" s="373"/>
      <c r="O676" s="373"/>
      <c r="P676" s="373"/>
      <c r="Q676" s="373"/>
      <c r="R676" s="373"/>
      <c r="S676" s="373"/>
      <c r="T676" s="373"/>
      <c r="U676" s="373"/>
      <c r="V676" s="373"/>
    </row>
    <row r="677" spans="6:22" ht="58.5" customHeight="1" x14ac:dyDescent="0.3">
      <c r="F677" s="373"/>
      <c r="G677" s="373"/>
      <c r="H677" s="373"/>
      <c r="I677" s="373"/>
      <c r="J677" s="373"/>
      <c r="K677" s="374"/>
      <c r="L677" s="373"/>
      <c r="M677" s="373"/>
      <c r="N677" s="373"/>
      <c r="O677" s="373"/>
      <c r="P677" s="373"/>
      <c r="Q677" s="373"/>
      <c r="R677" s="373"/>
      <c r="S677" s="373"/>
      <c r="T677" s="373"/>
      <c r="U677" s="373"/>
      <c r="V677" s="373"/>
    </row>
    <row r="678" spans="6:22" ht="58.5" customHeight="1" x14ac:dyDescent="0.3">
      <c r="F678" s="373"/>
      <c r="G678" s="373"/>
      <c r="H678" s="373"/>
      <c r="I678" s="373"/>
      <c r="J678" s="373"/>
      <c r="K678" s="374"/>
      <c r="L678" s="373"/>
      <c r="M678" s="373"/>
      <c r="N678" s="373"/>
      <c r="O678" s="373"/>
      <c r="P678" s="373"/>
      <c r="Q678" s="373"/>
      <c r="R678" s="373"/>
      <c r="S678" s="373"/>
      <c r="T678" s="373"/>
      <c r="U678" s="373"/>
      <c r="V678" s="373"/>
    </row>
    <row r="679" spans="6:22" ht="58.5" customHeight="1" x14ac:dyDescent="0.3">
      <c r="F679" s="373"/>
      <c r="G679" s="373"/>
      <c r="H679" s="373"/>
      <c r="I679" s="373"/>
      <c r="J679" s="373"/>
      <c r="K679" s="374"/>
      <c r="L679" s="373"/>
      <c r="M679" s="373"/>
      <c r="N679" s="373"/>
      <c r="O679" s="373"/>
      <c r="P679" s="373"/>
      <c r="Q679" s="373"/>
      <c r="R679" s="373"/>
      <c r="S679" s="373"/>
      <c r="T679" s="373"/>
      <c r="U679" s="373"/>
      <c r="V679" s="373"/>
    </row>
    <row r="680" spans="6:22" ht="58.5" customHeight="1" x14ac:dyDescent="0.3">
      <c r="F680" s="373"/>
      <c r="G680" s="373"/>
      <c r="H680" s="373"/>
      <c r="I680" s="373"/>
      <c r="J680" s="373"/>
      <c r="K680" s="374"/>
      <c r="L680" s="373"/>
      <c r="M680" s="373"/>
      <c r="N680" s="373"/>
      <c r="O680" s="373"/>
      <c r="P680" s="373"/>
      <c r="Q680" s="373"/>
      <c r="R680" s="373"/>
      <c r="S680" s="373"/>
      <c r="T680" s="373"/>
      <c r="U680" s="373"/>
      <c r="V680" s="373"/>
    </row>
    <row r="681" spans="6:22" ht="58.5" customHeight="1" x14ac:dyDescent="0.3">
      <c r="F681" s="373"/>
      <c r="G681" s="373"/>
      <c r="H681" s="373"/>
      <c r="I681" s="373"/>
      <c r="J681" s="373"/>
      <c r="K681" s="374"/>
      <c r="L681" s="373"/>
      <c r="M681" s="373"/>
      <c r="N681" s="373"/>
      <c r="O681" s="373"/>
      <c r="P681" s="373"/>
      <c r="Q681" s="373"/>
      <c r="R681" s="373"/>
      <c r="S681" s="373"/>
      <c r="T681" s="373"/>
      <c r="U681" s="373"/>
      <c r="V681" s="373"/>
    </row>
    <row r="682" spans="6:22" ht="58.5" customHeight="1" x14ac:dyDescent="0.3">
      <c r="F682" s="373"/>
      <c r="G682" s="373"/>
      <c r="H682" s="373"/>
      <c r="I682" s="373"/>
      <c r="J682" s="373"/>
      <c r="K682" s="374"/>
      <c r="L682" s="373"/>
      <c r="M682" s="373"/>
      <c r="N682" s="373"/>
      <c r="O682" s="373"/>
      <c r="P682" s="373"/>
      <c r="Q682" s="373"/>
      <c r="R682" s="373"/>
      <c r="S682" s="373"/>
      <c r="T682" s="373"/>
      <c r="U682" s="373"/>
      <c r="V682" s="373"/>
    </row>
    <row r="683" spans="6:22" ht="58.5" customHeight="1" x14ac:dyDescent="0.3">
      <c r="F683" s="373"/>
      <c r="G683" s="373"/>
      <c r="H683" s="373"/>
      <c r="I683" s="373"/>
      <c r="J683" s="373"/>
      <c r="K683" s="374"/>
      <c r="L683" s="373"/>
      <c r="M683" s="373"/>
      <c r="N683" s="373"/>
      <c r="O683" s="373"/>
      <c r="P683" s="373"/>
      <c r="Q683" s="373"/>
      <c r="R683" s="373"/>
      <c r="S683" s="373"/>
      <c r="T683" s="373"/>
      <c r="U683" s="373"/>
      <c r="V683" s="373"/>
    </row>
    <row r="684" spans="6:22" ht="58.5" customHeight="1" x14ac:dyDescent="0.3">
      <c r="F684" s="373"/>
      <c r="G684" s="373"/>
      <c r="H684" s="373"/>
      <c r="I684" s="373"/>
      <c r="J684" s="373"/>
      <c r="K684" s="374"/>
      <c r="L684" s="373"/>
      <c r="M684" s="373"/>
      <c r="N684" s="373"/>
      <c r="O684" s="373"/>
      <c r="P684" s="373"/>
      <c r="Q684" s="373"/>
      <c r="R684" s="373"/>
      <c r="S684" s="373"/>
      <c r="T684" s="373"/>
      <c r="U684" s="373"/>
      <c r="V684" s="373"/>
    </row>
    <row r="685" spans="6:22" ht="58.5" customHeight="1" x14ac:dyDescent="0.3">
      <c r="F685" s="373"/>
      <c r="G685" s="373"/>
      <c r="H685" s="373"/>
      <c r="I685" s="373"/>
      <c r="J685" s="373"/>
      <c r="K685" s="374"/>
      <c r="L685" s="373"/>
      <c r="M685" s="373"/>
      <c r="N685" s="373"/>
      <c r="O685" s="373"/>
      <c r="P685" s="373"/>
      <c r="Q685" s="373"/>
      <c r="R685" s="373"/>
      <c r="S685" s="373"/>
      <c r="T685" s="373"/>
      <c r="U685" s="373"/>
      <c r="V685" s="373"/>
    </row>
    <row r="686" spans="6:22" ht="58.5" customHeight="1" x14ac:dyDescent="0.3">
      <c r="F686" s="373"/>
      <c r="G686" s="373"/>
      <c r="H686" s="373"/>
      <c r="I686" s="373"/>
      <c r="J686" s="373"/>
      <c r="K686" s="374"/>
      <c r="L686" s="373"/>
      <c r="M686" s="373"/>
      <c r="N686" s="373"/>
      <c r="O686" s="373"/>
      <c r="P686" s="373"/>
      <c r="Q686" s="373"/>
      <c r="R686" s="373"/>
      <c r="S686" s="373"/>
      <c r="T686" s="373"/>
      <c r="U686" s="373"/>
      <c r="V686" s="373"/>
    </row>
    <row r="687" spans="6:22" ht="58.5" customHeight="1" x14ac:dyDescent="0.3">
      <c r="F687" s="373"/>
      <c r="G687" s="373"/>
      <c r="H687" s="373"/>
      <c r="I687" s="373"/>
      <c r="J687" s="373"/>
      <c r="K687" s="374"/>
      <c r="L687" s="373"/>
      <c r="M687" s="373"/>
      <c r="N687" s="373"/>
      <c r="O687" s="373"/>
      <c r="P687" s="373"/>
      <c r="Q687" s="373"/>
      <c r="R687" s="373"/>
      <c r="S687" s="373"/>
      <c r="T687" s="373"/>
      <c r="U687" s="373"/>
      <c r="V687" s="373"/>
    </row>
    <row r="688" spans="6:22" ht="58.5" customHeight="1" x14ac:dyDescent="0.3">
      <c r="F688" s="373"/>
      <c r="G688" s="373"/>
      <c r="H688" s="373"/>
      <c r="I688" s="373"/>
      <c r="J688" s="373"/>
      <c r="K688" s="374"/>
      <c r="L688" s="373"/>
      <c r="M688" s="373"/>
      <c r="N688" s="373"/>
      <c r="O688" s="373"/>
      <c r="P688" s="373"/>
      <c r="Q688" s="373"/>
      <c r="R688" s="373"/>
      <c r="S688" s="373"/>
      <c r="T688" s="373"/>
      <c r="U688" s="373"/>
      <c r="V688" s="373"/>
    </row>
    <row r="689" spans="6:22" ht="58.5" customHeight="1" x14ac:dyDescent="0.3">
      <c r="F689" s="373"/>
      <c r="G689" s="373"/>
      <c r="H689" s="373"/>
      <c r="I689" s="373"/>
      <c r="J689" s="373"/>
      <c r="K689" s="374"/>
      <c r="L689" s="373"/>
      <c r="M689" s="373"/>
      <c r="N689" s="373"/>
      <c r="O689" s="373"/>
      <c r="P689" s="373"/>
      <c r="Q689" s="373"/>
      <c r="R689" s="373"/>
      <c r="S689" s="373"/>
      <c r="T689" s="373"/>
      <c r="U689" s="373"/>
      <c r="V689" s="373"/>
    </row>
    <row r="690" spans="6:22" ht="58.5" customHeight="1" x14ac:dyDescent="0.3">
      <c r="F690" s="373"/>
      <c r="G690" s="373"/>
      <c r="H690" s="373"/>
      <c r="I690" s="373"/>
      <c r="J690" s="373"/>
      <c r="K690" s="374"/>
      <c r="L690" s="373"/>
      <c r="M690" s="373"/>
      <c r="N690" s="373"/>
      <c r="O690" s="373"/>
      <c r="P690" s="373"/>
      <c r="Q690" s="373"/>
      <c r="R690" s="373"/>
      <c r="S690" s="373"/>
      <c r="T690" s="373"/>
      <c r="U690" s="373"/>
      <c r="V690" s="373"/>
    </row>
    <row r="691" spans="6:22" ht="58.5" customHeight="1" x14ac:dyDescent="0.3">
      <c r="F691" s="373"/>
      <c r="G691" s="373"/>
      <c r="H691" s="373"/>
      <c r="I691" s="373"/>
      <c r="J691" s="373"/>
      <c r="K691" s="374"/>
      <c r="L691" s="373"/>
      <c r="M691" s="373"/>
      <c r="N691" s="373"/>
      <c r="O691" s="373"/>
      <c r="P691" s="373"/>
      <c r="Q691" s="373"/>
      <c r="R691" s="373"/>
      <c r="S691" s="373"/>
      <c r="T691" s="373"/>
      <c r="U691" s="373"/>
      <c r="V691" s="373"/>
    </row>
    <row r="692" spans="6:22" ht="58.5" customHeight="1" x14ac:dyDescent="0.3">
      <c r="F692" s="373"/>
      <c r="G692" s="373"/>
      <c r="H692" s="373"/>
      <c r="I692" s="373"/>
      <c r="J692" s="373"/>
      <c r="K692" s="374"/>
      <c r="L692" s="373"/>
      <c r="M692" s="373"/>
      <c r="N692" s="373"/>
      <c r="O692" s="373"/>
      <c r="P692" s="373"/>
      <c r="Q692" s="373"/>
      <c r="R692" s="373"/>
      <c r="S692" s="373"/>
      <c r="T692" s="373"/>
      <c r="U692" s="373"/>
      <c r="V692" s="373"/>
    </row>
    <row r="693" spans="6:22" ht="58.5" customHeight="1" x14ac:dyDescent="0.3">
      <c r="F693" s="373"/>
      <c r="G693" s="373"/>
      <c r="H693" s="373"/>
      <c r="I693" s="373"/>
      <c r="J693" s="373"/>
      <c r="K693" s="374"/>
      <c r="L693" s="373"/>
      <c r="M693" s="373"/>
      <c r="N693" s="373"/>
      <c r="O693" s="373"/>
      <c r="P693" s="373"/>
      <c r="Q693" s="373"/>
      <c r="R693" s="373"/>
      <c r="S693" s="373"/>
      <c r="T693" s="373"/>
      <c r="U693" s="373"/>
      <c r="V693" s="373"/>
    </row>
    <row r="694" spans="6:22" ht="58.5" customHeight="1" x14ac:dyDescent="0.3">
      <c r="F694" s="373"/>
      <c r="G694" s="373"/>
      <c r="H694" s="373"/>
      <c r="I694" s="373"/>
      <c r="J694" s="373"/>
      <c r="K694" s="374"/>
      <c r="L694" s="373"/>
      <c r="M694" s="373"/>
      <c r="N694" s="373"/>
      <c r="O694" s="373"/>
      <c r="P694" s="373"/>
      <c r="Q694" s="373"/>
      <c r="R694" s="373"/>
      <c r="S694" s="373"/>
      <c r="T694" s="373"/>
      <c r="U694" s="373"/>
      <c r="V694" s="373"/>
    </row>
    <row r="695" spans="6:22" ht="58.5" customHeight="1" x14ac:dyDescent="0.3">
      <c r="F695" s="373"/>
      <c r="G695" s="373"/>
      <c r="H695" s="373"/>
      <c r="I695" s="373"/>
      <c r="J695" s="373"/>
      <c r="K695" s="374"/>
      <c r="L695" s="373"/>
      <c r="M695" s="373"/>
      <c r="N695" s="373"/>
      <c r="O695" s="373"/>
      <c r="P695" s="373"/>
      <c r="Q695" s="373"/>
      <c r="R695" s="373"/>
      <c r="S695" s="373"/>
      <c r="T695" s="373"/>
      <c r="U695" s="373"/>
      <c r="V695" s="373"/>
    </row>
    <row r="696" spans="6:22" ht="58.5" customHeight="1" x14ac:dyDescent="0.3">
      <c r="F696" s="373"/>
      <c r="G696" s="373"/>
      <c r="H696" s="373"/>
      <c r="I696" s="373"/>
      <c r="J696" s="373"/>
      <c r="K696" s="374"/>
      <c r="L696" s="373"/>
      <c r="M696" s="373"/>
      <c r="N696" s="373"/>
      <c r="O696" s="373"/>
      <c r="P696" s="373"/>
      <c r="Q696" s="373"/>
      <c r="R696" s="373"/>
      <c r="S696" s="373"/>
      <c r="T696" s="373"/>
      <c r="U696" s="373"/>
      <c r="V696" s="373"/>
    </row>
    <row r="697" spans="6:22" ht="58.5" customHeight="1" x14ac:dyDescent="0.3">
      <c r="F697" s="373"/>
      <c r="G697" s="373"/>
      <c r="H697" s="373"/>
      <c r="I697" s="373"/>
      <c r="J697" s="373"/>
      <c r="K697" s="374"/>
      <c r="L697" s="373"/>
      <c r="M697" s="373"/>
      <c r="N697" s="373"/>
      <c r="O697" s="373"/>
      <c r="P697" s="373"/>
      <c r="Q697" s="373"/>
      <c r="R697" s="373"/>
      <c r="S697" s="373"/>
      <c r="T697" s="373"/>
      <c r="U697" s="373"/>
      <c r="V697" s="373"/>
    </row>
    <row r="698" spans="6:22" ht="58.5" customHeight="1" x14ac:dyDescent="0.3">
      <c r="F698" s="373"/>
      <c r="G698" s="373"/>
      <c r="H698" s="373"/>
      <c r="I698" s="373"/>
      <c r="J698" s="373"/>
      <c r="K698" s="374"/>
      <c r="L698" s="373"/>
      <c r="M698" s="373"/>
      <c r="N698" s="373"/>
      <c r="O698" s="373"/>
      <c r="P698" s="373"/>
      <c r="Q698" s="373"/>
      <c r="R698" s="373"/>
      <c r="S698" s="373"/>
      <c r="T698" s="373"/>
      <c r="U698" s="373"/>
      <c r="V698" s="373"/>
    </row>
    <row r="699" spans="6:22" ht="58.5" customHeight="1" x14ac:dyDescent="0.3">
      <c r="F699" s="373"/>
      <c r="G699" s="373"/>
      <c r="H699" s="373"/>
      <c r="I699" s="373"/>
      <c r="J699" s="373"/>
      <c r="K699" s="374"/>
      <c r="L699" s="373"/>
      <c r="M699" s="373"/>
      <c r="N699" s="373"/>
      <c r="O699" s="373"/>
      <c r="P699" s="373"/>
      <c r="Q699" s="373"/>
      <c r="R699" s="373"/>
      <c r="S699" s="373"/>
      <c r="T699" s="373"/>
      <c r="U699" s="373"/>
      <c r="V699" s="373"/>
    </row>
    <row r="700" spans="6:22" ht="58.5" customHeight="1" x14ac:dyDescent="0.3">
      <c r="F700" s="373"/>
      <c r="G700" s="373"/>
      <c r="H700" s="373"/>
      <c r="I700" s="373"/>
      <c r="J700" s="373"/>
      <c r="K700" s="374"/>
      <c r="L700" s="373"/>
      <c r="M700" s="373"/>
      <c r="N700" s="373"/>
      <c r="O700" s="373"/>
      <c r="P700" s="373"/>
      <c r="Q700" s="373"/>
      <c r="R700" s="373"/>
      <c r="S700" s="373"/>
      <c r="T700" s="373"/>
      <c r="U700" s="373"/>
      <c r="V700" s="373"/>
    </row>
    <row r="701" spans="6:22" ht="58.5" customHeight="1" x14ac:dyDescent="0.3">
      <c r="F701" s="373"/>
      <c r="G701" s="373"/>
      <c r="H701" s="373"/>
      <c r="I701" s="373"/>
      <c r="J701" s="373"/>
      <c r="K701" s="374"/>
      <c r="L701" s="373"/>
      <c r="M701" s="373"/>
      <c r="N701" s="373"/>
      <c r="O701" s="373"/>
      <c r="P701" s="373"/>
      <c r="Q701" s="373"/>
      <c r="R701" s="373"/>
      <c r="S701" s="373"/>
      <c r="T701" s="373"/>
      <c r="U701" s="373"/>
      <c r="V701" s="373"/>
    </row>
    <row r="702" spans="6:22" ht="58.5" customHeight="1" x14ac:dyDescent="0.3">
      <c r="F702" s="373"/>
      <c r="G702" s="373"/>
      <c r="H702" s="373"/>
      <c r="I702" s="373"/>
      <c r="J702" s="373"/>
      <c r="K702" s="374"/>
      <c r="L702" s="373"/>
      <c r="M702" s="373"/>
      <c r="N702" s="373"/>
      <c r="O702" s="373"/>
      <c r="P702" s="373"/>
      <c r="Q702" s="373"/>
      <c r="R702" s="373"/>
      <c r="S702" s="373"/>
      <c r="T702" s="373"/>
      <c r="U702" s="373"/>
      <c r="V702" s="373"/>
    </row>
    <row r="703" spans="6:22" ht="58.5" customHeight="1" x14ac:dyDescent="0.3">
      <c r="F703" s="373"/>
      <c r="G703" s="373"/>
      <c r="H703" s="373"/>
      <c r="I703" s="373"/>
      <c r="J703" s="373"/>
      <c r="K703" s="374"/>
      <c r="L703" s="373"/>
      <c r="M703" s="373"/>
      <c r="N703" s="373"/>
      <c r="O703" s="373"/>
      <c r="P703" s="373"/>
      <c r="Q703" s="373"/>
      <c r="R703" s="373"/>
      <c r="S703" s="373"/>
      <c r="T703" s="373"/>
      <c r="U703" s="373"/>
      <c r="V703" s="373"/>
    </row>
    <row r="704" spans="6:22" ht="58.5" customHeight="1" x14ac:dyDescent="0.3">
      <c r="F704" s="373"/>
      <c r="G704" s="373"/>
      <c r="H704" s="373"/>
      <c r="I704" s="373"/>
      <c r="J704" s="373"/>
      <c r="K704" s="374"/>
      <c r="L704" s="373"/>
      <c r="M704" s="373"/>
      <c r="N704" s="373"/>
      <c r="O704" s="373"/>
      <c r="P704" s="373"/>
      <c r="Q704" s="373"/>
      <c r="R704" s="373"/>
      <c r="S704" s="373"/>
      <c r="T704" s="373"/>
      <c r="U704" s="373"/>
      <c r="V704" s="373"/>
    </row>
    <row r="705" spans="6:22" ht="58.5" customHeight="1" x14ac:dyDescent="0.3">
      <c r="F705" s="373"/>
      <c r="G705" s="373"/>
      <c r="H705" s="373"/>
      <c r="I705" s="373"/>
      <c r="J705" s="373"/>
      <c r="K705" s="374"/>
      <c r="L705" s="373"/>
      <c r="M705" s="373"/>
      <c r="N705" s="373"/>
      <c r="O705" s="373"/>
      <c r="P705" s="373"/>
      <c r="Q705" s="373"/>
      <c r="R705" s="373"/>
      <c r="S705" s="373"/>
      <c r="T705" s="373"/>
      <c r="U705" s="373"/>
      <c r="V705" s="373"/>
    </row>
    <row r="706" spans="6:22" ht="58.5" customHeight="1" x14ac:dyDescent="0.3">
      <c r="F706" s="373"/>
      <c r="G706" s="373"/>
      <c r="H706" s="373"/>
      <c r="I706" s="373"/>
      <c r="J706" s="373"/>
      <c r="K706" s="374"/>
      <c r="L706" s="373"/>
      <c r="M706" s="373"/>
      <c r="N706" s="373"/>
      <c r="O706" s="373"/>
      <c r="P706" s="373"/>
      <c r="Q706" s="373"/>
      <c r="R706" s="373"/>
      <c r="S706" s="373"/>
      <c r="T706" s="373"/>
      <c r="U706" s="373"/>
      <c r="V706" s="373"/>
    </row>
    <row r="707" spans="6:22" ht="58.5" customHeight="1" x14ac:dyDescent="0.3">
      <c r="F707" s="373"/>
      <c r="G707" s="373"/>
      <c r="H707" s="373"/>
      <c r="I707" s="373"/>
      <c r="J707" s="373"/>
      <c r="K707" s="374"/>
      <c r="L707" s="373"/>
      <c r="M707" s="373"/>
      <c r="N707" s="373"/>
      <c r="O707" s="373"/>
      <c r="P707" s="373"/>
      <c r="Q707" s="373"/>
      <c r="R707" s="373"/>
      <c r="S707" s="373"/>
      <c r="T707" s="373"/>
      <c r="U707" s="373"/>
      <c r="V707" s="373"/>
    </row>
    <row r="708" spans="6:22" ht="58.5" customHeight="1" x14ac:dyDescent="0.3">
      <c r="F708" s="373"/>
      <c r="G708" s="373"/>
      <c r="H708" s="373"/>
      <c r="I708" s="373"/>
      <c r="J708" s="373"/>
      <c r="K708" s="374"/>
      <c r="L708" s="373"/>
      <c r="M708" s="373"/>
      <c r="N708" s="373"/>
      <c r="O708" s="373"/>
      <c r="P708" s="373"/>
      <c r="Q708" s="373"/>
      <c r="R708" s="373"/>
      <c r="S708" s="373"/>
      <c r="T708" s="373"/>
      <c r="U708" s="373"/>
      <c r="V708" s="373"/>
    </row>
    <row r="709" spans="6:22" ht="58.5" customHeight="1" x14ac:dyDescent="0.3">
      <c r="F709" s="373"/>
      <c r="G709" s="373"/>
      <c r="H709" s="373"/>
      <c r="I709" s="373"/>
      <c r="J709" s="373"/>
      <c r="K709" s="374"/>
      <c r="L709" s="373"/>
      <c r="M709" s="373"/>
      <c r="N709" s="373"/>
      <c r="O709" s="373"/>
      <c r="P709" s="373"/>
      <c r="Q709" s="373"/>
      <c r="R709" s="373"/>
      <c r="S709" s="373"/>
      <c r="T709" s="373"/>
      <c r="U709" s="373"/>
      <c r="V709" s="373"/>
    </row>
    <row r="710" spans="6:22" ht="58.5" customHeight="1" x14ac:dyDescent="0.3">
      <c r="F710" s="373"/>
      <c r="G710" s="373"/>
      <c r="H710" s="373"/>
      <c r="I710" s="373"/>
      <c r="J710" s="373"/>
      <c r="K710" s="374"/>
      <c r="L710" s="373"/>
      <c r="M710" s="373"/>
      <c r="N710" s="373"/>
      <c r="O710" s="373"/>
      <c r="P710" s="373"/>
      <c r="Q710" s="373"/>
      <c r="R710" s="373"/>
      <c r="S710" s="373"/>
      <c r="T710" s="373"/>
      <c r="U710" s="373"/>
      <c r="V710" s="373"/>
    </row>
    <row r="711" spans="6:22" ht="58.5" customHeight="1" x14ac:dyDescent="0.3">
      <c r="F711" s="373"/>
      <c r="G711" s="373"/>
      <c r="H711" s="373"/>
      <c r="I711" s="373"/>
      <c r="J711" s="373"/>
      <c r="K711" s="374"/>
      <c r="L711" s="373"/>
      <c r="M711" s="373"/>
      <c r="N711" s="373"/>
      <c r="O711" s="373"/>
      <c r="P711" s="373"/>
      <c r="Q711" s="373"/>
      <c r="R711" s="373"/>
      <c r="S711" s="373"/>
      <c r="T711" s="373"/>
      <c r="U711" s="373"/>
      <c r="V711" s="373"/>
    </row>
    <row r="712" spans="6:22" ht="58.5" customHeight="1" x14ac:dyDescent="0.3">
      <c r="F712" s="373"/>
      <c r="G712" s="373"/>
      <c r="H712" s="373"/>
      <c r="I712" s="373"/>
      <c r="J712" s="373"/>
      <c r="K712" s="374"/>
      <c r="L712" s="373"/>
      <c r="M712" s="373"/>
      <c r="N712" s="373"/>
      <c r="O712" s="373"/>
      <c r="P712" s="373"/>
      <c r="Q712" s="373"/>
      <c r="R712" s="373"/>
      <c r="S712" s="373"/>
      <c r="T712" s="373"/>
      <c r="U712" s="373"/>
      <c r="V712" s="373"/>
    </row>
    <row r="713" spans="6:22" ht="58.5" customHeight="1" x14ac:dyDescent="0.3">
      <c r="F713" s="373"/>
      <c r="G713" s="373"/>
      <c r="H713" s="373"/>
      <c r="I713" s="373"/>
      <c r="J713" s="373"/>
      <c r="K713" s="374"/>
      <c r="L713" s="373"/>
      <c r="M713" s="373"/>
      <c r="N713" s="373"/>
      <c r="O713" s="373"/>
      <c r="P713" s="373"/>
      <c r="Q713" s="373"/>
      <c r="R713" s="373"/>
      <c r="S713" s="373"/>
      <c r="T713" s="373"/>
      <c r="U713" s="373"/>
      <c r="V713" s="373"/>
    </row>
    <row r="714" spans="6:22" ht="58.5" customHeight="1" x14ac:dyDescent="0.3">
      <c r="F714" s="373"/>
      <c r="G714" s="373"/>
      <c r="H714" s="373"/>
      <c r="I714" s="373"/>
      <c r="J714" s="373"/>
      <c r="K714" s="374"/>
      <c r="L714" s="373"/>
      <c r="M714" s="373"/>
      <c r="N714" s="373"/>
      <c r="O714" s="373"/>
      <c r="P714" s="373"/>
      <c r="Q714" s="373"/>
      <c r="R714" s="373"/>
      <c r="S714" s="373"/>
      <c r="T714" s="373"/>
      <c r="U714" s="373"/>
      <c r="V714" s="373"/>
    </row>
    <row r="715" spans="6:22" ht="58.5" customHeight="1" x14ac:dyDescent="0.3">
      <c r="F715" s="373"/>
      <c r="G715" s="373"/>
      <c r="H715" s="373"/>
      <c r="I715" s="373"/>
      <c r="J715" s="373"/>
      <c r="K715" s="374"/>
      <c r="L715" s="373"/>
      <c r="M715" s="373"/>
      <c r="N715" s="373"/>
      <c r="O715" s="373"/>
      <c r="P715" s="373"/>
      <c r="Q715" s="373"/>
      <c r="R715" s="373"/>
      <c r="S715" s="373"/>
      <c r="T715" s="373"/>
      <c r="U715" s="373"/>
      <c r="V715" s="373"/>
    </row>
    <row r="716" spans="6:22" ht="58.5" customHeight="1" x14ac:dyDescent="0.3">
      <c r="F716" s="373"/>
      <c r="G716" s="373"/>
      <c r="H716" s="373"/>
      <c r="I716" s="373"/>
      <c r="J716" s="373"/>
      <c r="K716" s="374"/>
      <c r="L716" s="373"/>
      <c r="M716" s="373"/>
      <c r="N716" s="373"/>
      <c r="O716" s="373"/>
      <c r="P716" s="373"/>
      <c r="Q716" s="373"/>
      <c r="R716" s="373"/>
      <c r="S716" s="373"/>
      <c r="T716" s="373"/>
      <c r="U716" s="373"/>
      <c r="V716" s="373"/>
    </row>
    <row r="717" spans="6:22" ht="58.5" customHeight="1" x14ac:dyDescent="0.3">
      <c r="F717" s="373"/>
      <c r="G717" s="373"/>
      <c r="H717" s="373"/>
      <c r="I717" s="373"/>
      <c r="J717" s="373"/>
      <c r="K717" s="374"/>
      <c r="L717" s="373"/>
      <c r="M717" s="373"/>
      <c r="N717" s="373"/>
      <c r="O717" s="373"/>
      <c r="P717" s="373"/>
      <c r="Q717" s="373"/>
      <c r="R717" s="373"/>
      <c r="S717" s="373"/>
      <c r="T717" s="373"/>
      <c r="U717" s="373"/>
      <c r="V717" s="373"/>
    </row>
    <row r="718" spans="6:22" ht="58.5" customHeight="1" x14ac:dyDescent="0.3">
      <c r="F718" s="373"/>
      <c r="G718" s="373"/>
      <c r="H718" s="373"/>
      <c r="I718" s="373"/>
      <c r="J718" s="373"/>
      <c r="K718" s="374"/>
      <c r="L718" s="373"/>
      <c r="M718" s="373"/>
      <c r="N718" s="373"/>
      <c r="O718" s="373"/>
      <c r="P718" s="373"/>
      <c r="Q718" s="373"/>
      <c r="R718" s="373"/>
      <c r="S718" s="373"/>
      <c r="T718" s="373"/>
      <c r="U718" s="373"/>
      <c r="V718" s="373"/>
    </row>
    <row r="719" spans="6:22" ht="58.5" customHeight="1" x14ac:dyDescent="0.3">
      <c r="F719" s="373"/>
      <c r="G719" s="373"/>
      <c r="H719" s="373"/>
      <c r="I719" s="373"/>
      <c r="J719" s="373"/>
      <c r="K719" s="374"/>
      <c r="L719" s="373"/>
      <c r="M719" s="373"/>
      <c r="N719" s="373"/>
      <c r="O719" s="373"/>
      <c r="P719" s="373"/>
      <c r="Q719" s="373"/>
      <c r="R719" s="373"/>
      <c r="S719" s="373"/>
      <c r="T719" s="373"/>
      <c r="U719" s="373"/>
      <c r="V719" s="373"/>
    </row>
    <row r="720" spans="6:22" ht="58.5" customHeight="1" x14ac:dyDescent="0.3">
      <c r="F720" s="373"/>
      <c r="G720" s="373"/>
      <c r="H720" s="373"/>
      <c r="I720" s="373"/>
      <c r="J720" s="373"/>
      <c r="K720" s="374"/>
      <c r="L720" s="373"/>
      <c r="M720" s="373"/>
      <c r="N720" s="373"/>
      <c r="O720" s="373"/>
      <c r="P720" s="373"/>
      <c r="Q720" s="373"/>
      <c r="R720" s="373"/>
      <c r="S720" s="373"/>
      <c r="T720" s="373"/>
      <c r="U720" s="373"/>
      <c r="V720" s="373"/>
    </row>
    <row r="721" spans="6:22" ht="58.5" customHeight="1" x14ac:dyDescent="0.3">
      <c r="F721" s="373"/>
      <c r="G721" s="373"/>
      <c r="H721" s="373"/>
      <c r="I721" s="373"/>
      <c r="J721" s="373"/>
      <c r="K721" s="374"/>
      <c r="L721" s="373"/>
      <c r="M721" s="373"/>
      <c r="N721" s="373"/>
      <c r="O721" s="373"/>
      <c r="P721" s="373"/>
      <c r="Q721" s="373"/>
      <c r="R721" s="373"/>
      <c r="S721" s="373"/>
      <c r="T721" s="373"/>
      <c r="U721" s="373"/>
      <c r="V721" s="373"/>
    </row>
    <row r="722" spans="6:22" ht="58.5" customHeight="1" x14ac:dyDescent="0.3">
      <c r="F722" s="373"/>
      <c r="G722" s="373"/>
      <c r="H722" s="373"/>
      <c r="I722" s="373"/>
      <c r="J722" s="373"/>
      <c r="K722" s="374"/>
      <c r="L722" s="373"/>
      <c r="M722" s="373"/>
      <c r="N722" s="373"/>
      <c r="O722" s="373"/>
      <c r="P722" s="373"/>
      <c r="Q722" s="373"/>
      <c r="R722" s="373"/>
      <c r="S722" s="373"/>
      <c r="T722" s="373"/>
      <c r="U722" s="373"/>
      <c r="V722" s="373"/>
    </row>
    <row r="723" spans="6:22" ht="58.5" customHeight="1" x14ac:dyDescent="0.3">
      <c r="F723" s="373"/>
      <c r="G723" s="373"/>
      <c r="H723" s="373"/>
      <c r="I723" s="373"/>
      <c r="J723" s="373"/>
      <c r="K723" s="374"/>
      <c r="L723" s="373"/>
      <c r="M723" s="373"/>
      <c r="N723" s="373"/>
      <c r="O723" s="373"/>
      <c r="P723" s="373"/>
      <c r="Q723" s="373"/>
      <c r="R723" s="373"/>
      <c r="S723" s="373"/>
      <c r="T723" s="373"/>
      <c r="U723" s="373"/>
      <c r="V723" s="373"/>
    </row>
    <row r="724" spans="6:22" ht="58.5" customHeight="1" x14ac:dyDescent="0.3">
      <c r="F724" s="373"/>
      <c r="G724" s="373"/>
      <c r="H724" s="373"/>
      <c r="I724" s="373"/>
      <c r="J724" s="373"/>
      <c r="K724" s="374"/>
      <c r="L724" s="373"/>
      <c r="M724" s="373"/>
      <c r="N724" s="373"/>
      <c r="O724" s="373"/>
      <c r="P724" s="373"/>
      <c r="Q724" s="373"/>
      <c r="R724" s="373"/>
      <c r="S724" s="373"/>
      <c r="T724" s="373"/>
      <c r="U724" s="373"/>
      <c r="V724" s="373"/>
    </row>
    <row r="725" spans="6:22" ht="58.5" customHeight="1" x14ac:dyDescent="0.3">
      <c r="F725" s="373"/>
      <c r="G725" s="373"/>
      <c r="H725" s="373"/>
      <c r="I725" s="373"/>
      <c r="J725" s="373"/>
      <c r="K725" s="374"/>
      <c r="L725" s="373"/>
      <c r="M725" s="373"/>
      <c r="N725" s="373"/>
      <c r="O725" s="373"/>
      <c r="P725" s="373"/>
      <c r="Q725" s="373"/>
      <c r="R725" s="373"/>
      <c r="S725" s="373"/>
      <c r="T725" s="373"/>
      <c r="U725" s="373"/>
      <c r="V725" s="373"/>
    </row>
    <row r="726" spans="6:22" ht="58.5" customHeight="1" x14ac:dyDescent="0.3">
      <c r="F726" s="373"/>
      <c r="G726" s="373"/>
      <c r="H726" s="373"/>
      <c r="I726" s="373"/>
      <c r="J726" s="373"/>
      <c r="K726" s="374"/>
      <c r="L726" s="373"/>
      <c r="M726" s="373"/>
      <c r="N726" s="373"/>
      <c r="O726" s="373"/>
      <c r="P726" s="373"/>
      <c r="Q726" s="373"/>
      <c r="R726" s="373"/>
      <c r="S726" s="373"/>
      <c r="T726" s="373"/>
      <c r="U726" s="373"/>
      <c r="V726" s="373"/>
    </row>
    <row r="727" spans="6:22" ht="58.5" customHeight="1" x14ac:dyDescent="0.3">
      <c r="F727" s="373"/>
      <c r="G727" s="373"/>
      <c r="H727" s="373"/>
      <c r="I727" s="373"/>
      <c r="J727" s="373"/>
      <c r="K727" s="374"/>
      <c r="L727" s="373"/>
      <c r="M727" s="373"/>
      <c r="N727" s="373"/>
      <c r="O727" s="373"/>
      <c r="P727" s="373"/>
      <c r="Q727" s="373"/>
      <c r="R727" s="373"/>
      <c r="S727" s="373"/>
      <c r="T727" s="373"/>
      <c r="U727" s="373"/>
      <c r="V727" s="373"/>
    </row>
    <row r="728" spans="6:22" ht="58.5" customHeight="1" x14ac:dyDescent="0.3">
      <c r="F728" s="373"/>
      <c r="G728" s="373"/>
      <c r="H728" s="373"/>
      <c r="I728" s="373"/>
      <c r="J728" s="373"/>
      <c r="K728" s="374"/>
      <c r="L728" s="373"/>
      <c r="M728" s="373"/>
      <c r="N728" s="373"/>
      <c r="O728" s="373"/>
      <c r="P728" s="373"/>
      <c r="Q728" s="373"/>
      <c r="R728" s="373"/>
      <c r="S728" s="373"/>
      <c r="T728" s="373"/>
      <c r="U728" s="373"/>
      <c r="V728" s="373"/>
    </row>
    <row r="729" spans="6:22" ht="58.5" customHeight="1" x14ac:dyDescent="0.3">
      <c r="F729" s="373"/>
      <c r="G729" s="373"/>
      <c r="H729" s="373"/>
      <c r="I729" s="373"/>
      <c r="J729" s="373"/>
      <c r="K729" s="374"/>
      <c r="L729" s="373"/>
      <c r="M729" s="373"/>
      <c r="N729" s="373"/>
      <c r="O729" s="373"/>
      <c r="P729" s="373"/>
      <c r="Q729" s="373"/>
      <c r="R729" s="373"/>
      <c r="S729" s="373"/>
      <c r="T729" s="373"/>
      <c r="U729" s="373"/>
      <c r="V729" s="373"/>
    </row>
    <row r="730" spans="6:22" ht="58.5" customHeight="1" x14ac:dyDescent="0.3">
      <c r="F730" s="373"/>
      <c r="G730" s="373"/>
      <c r="H730" s="373"/>
      <c r="I730" s="373"/>
      <c r="J730" s="373"/>
      <c r="K730" s="374"/>
      <c r="L730" s="373"/>
      <c r="M730" s="373"/>
      <c r="N730" s="373"/>
      <c r="O730" s="373"/>
      <c r="P730" s="373"/>
      <c r="Q730" s="373"/>
      <c r="R730" s="373"/>
      <c r="S730" s="373"/>
      <c r="T730" s="373"/>
      <c r="U730" s="373"/>
      <c r="V730" s="373"/>
    </row>
    <row r="731" spans="6:22" ht="58.5" customHeight="1" x14ac:dyDescent="0.3">
      <c r="F731" s="373"/>
      <c r="G731" s="373"/>
      <c r="H731" s="373"/>
      <c r="I731" s="373"/>
      <c r="J731" s="373"/>
      <c r="K731" s="374"/>
      <c r="L731" s="373"/>
      <c r="M731" s="373"/>
      <c r="N731" s="373"/>
      <c r="O731" s="373"/>
      <c r="P731" s="373"/>
      <c r="Q731" s="373"/>
      <c r="R731" s="373"/>
      <c r="S731" s="373"/>
      <c r="T731" s="373"/>
      <c r="U731" s="373"/>
      <c r="V731" s="373"/>
    </row>
    <row r="732" spans="6:22" ht="58.5" customHeight="1" x14ac:dyDescent="0.3">
      <c r="F732" s="373"/>
      <c r="G732" s="373"/>
      <c r="H732" s="373"/>
      <c r="I732" s="373"/>
      <c r="J732" s="373"/>
      <c r="K732" s="374"/>
      <c r="L732" s="373"/>
      <c r="M732" s="373"/>
      <c r="N732" s="373"/>
      <c r="O732" s="373"/>
      <c r="P732" s="373"/>
      <c r="Q732" s="373"/>
      <c r="R732" s="373"/>
      <c r="S732" s="373"/>
      <c r="T732" s="373"/>
      <c r="U732" s="373"/>
      <c r="V732" s="373"/>
    </row>
    <row r="733" spans="6:22" ht="58.5" customHeight="1" x14ac:dyDescent="0.3">
      <c r="F733" s="373"/>
      <c r="G733" s="373"/>
      <c r="H733" s="373"/>
      <c r="I733" s="373"/>
      <c r="J733" s="373"/>
      <c r="K733" s="374"/>
      <c r="L733" s="373"/>
      <c r="M733" s="373"/>
      <c r="N733" s="373"/>
      <c r="O733" s="373"/>
      <c r="P733" s="373"/>
      <c r="Q733" s="373"/>
      <c r="R733" s="373"/>
      <c r="S733" s="373"/>
      <c r="T733" s="373"/>
      <c r="U733" s="373"/>
      <c r="V733" s="373"/>
    </row>
    <row r="734" spans="6:22" ht="58.5" customHeight="1" x14ac:dyDescent="0.3">
      <c r="F734" s="373"/>
      <c r="G734" s="373"/>
      <c r="H734" s="373"/>
      <c r="I734" s="373"/>
      <c r="J734" s="373"/>
      <c r="K734" s="374"/>
      <c r="L734" s="373"/>
      <c r="M734" s="373"/>
      <c r="N734" s="373"/>
      <c r="O734" s="373"/>
      <c r="P734" s="373"/>
      <c r="Q734" s="373"/>
      <c r="R734" s="373"/>
      <c r="S734" s="373"/>
      <c r="T734" s="373"/>
      <c r="U734" s="373"/>
      <c r="V734" s="373"/>
    </row>
    <row r="735" spans="6:22" ht="58.5" customHeight="1" x14ac:dyDescent="0.3">
      <c r="F735" s="373"/>
      <c r="G735" s="373"/>
      <c r="H735" s="373"/>
      <c r="I735" s="373"/>
      <c r="J735" s="373"/>
      <c r="K735" s="374"/>
      <c r="L735" s="373"/>
      <c r="M735" s="373"/>
      <c r="N735" s="373"/>
      <c r="O735" s="373"/>
      <c r="P735" s="373"/>
      <c r="Q735" s="373"/>
      <c r="R735" s="373"/>
      <c r="S735" s="373"/>
      <c r="T735" s="373"/>
      <c r="U735" s="373"/>
      <c r="V735" s="373"/>
    </row>
    <row r="736" spans="6:22" ht="58.5" customHeight="1" x14ac:dyDescent="0.3">
      <c r="F736" s="373"/>
      <c r="G736" s="373"/>
      <c r="H736" s="373"/>
      <c r="I736" s="373"/>
      <c r="J736" s="373"/>
      <c r="K736" s="374"/>
      <c r="L736" s="373"/>
      <c r="M736" s="373"/>
      <c r="N736" s="373"/>
      <c r="O736" s="373"/>
      <c r="P736" s="373"/>
      <c r="Q736" s="373"/>
      <c r="R736" s="373"/>
      <c r="S736" s="373"/>
      <c r="T736" s="373"/>
      <c r="U736" s="373"/>
      <c r="V736" s="373"/>
    </row>
    <row r="737" spans="6:22" ht="58.5" customHeight="1" x14ac:dyDescent="0.3">
      <c r="F737" s="373"/>
      <c r="G737" s="373"/>
      <c r="H737" s="373"/>
      <c r="I737" s="373"/>
      <c r="J737" s="373"/>
      <c r="K737" s="374"/>
      <c r="L737" s="373"/>
      <c r="M737" s="373"/>
      <c r="N737" s="373"/>
      <c r="O737" s="373"/>
      <c r="P737" s="373"/>
      <c r="Q737" s="373"/>
      <c r="R737" s="373"/>
      <c r="S737" s="373"/>
      <c r="T737" s="373"/>
      <c r="U737" s="373"/>
      <c r="V737" s="373"/>
    </row>
    <row r="738" spans="6:22" ht="58.5" customHeight="1" x14ac:dyDescent="0.3">
      <c r="F738" s="373"/>
      <c r="G738" s="373"/>
      <c r="H738" s="373"/>
      <c r="I738" s="373"/>
      <c r="J738" s="373"/>
      <c r="K738" s="374"/>
      <c r="L738" s="373"/>
      <c r="M738" s="373"/>
      <c r="N738" s="373"/>
      <c r="O738" s="373"/>
      <c r="P738" s="373"/>
      <c r="Q738" s="373"/>
      <c r="R738" s="373"/>
      <c r="S738" s="373"/>
      <c r="T738" s="373"/>
      <c r="U738" s="373"/>
      <c r="V738" s="373"/>
    </row>
    <row r="739" spans="6:22" ht="58.5" customHeight="1" x14ac:dyDescent="0.3">
      <c r="F739" s="373"/>
      <c r="G739" s="373"/>
      <c r="H739" s="373"/>
      <c r="I739" s="373"/>
      <c r="J739" s="373"/>
      <c r="K739" s="374"/>
      <c r="L739" s="373"/>
      <c r="M739" s="373"/>
      <c r="N739" s="373"/>
      <c r="O739" s="373"/>
      <c r="P739" s="373"/>
      <c r="Q739" s="373"/>
      <c r="R739" s="373"/>
      <c r="S739" s="373"/>
      <c r="T739" s="373"/>
      <c r="U739" s="373"/>
      <c r="V739" s="373"/>
    </row>
    <row r="740" spans="6:22" ht="58.5" customHeight="1" x14ac:dyDescent="0.3">
      <c r="F740" s="373"/>
      <c r="G740" s="373"/>
      <c r="H740" s="373"/>
      <c r="I740" s="373"/>
      <c r="J740" s="373"/>
      <c r="K740" s="374"/>
      <c r="L740" s="373"/>
      <c r="M740" s="373"/>
      <c r="N740" s="373"/>
      <c r="O740" s="373"/>
      <c r="P740" s="373"/>
      <c r="Q740" s="373"/>
      <c r="R740" s="373"/>
      <c r="S740" s="373"/>
      <c r="T740" s="373"/>
      <c r="U740" s="373"/>
      <c r="V740" s="373"/>
    </row>
    <row r="741" spans="6:22" ht="58.5" customHeight="1" x14ac:dyDescent="0.3">
      <c r="F741" s="373"/>
      <c r="G741" s="373"/>
      <c r="H741" s="373"/>
      <c r="I741" s="373"/>
      <c r="J741" s="373"/>
      <c r="K741" s="374"/>
      <c r="L741" s="373"/>
      <c r="M741" s="373"/>
      <c r="N741" s="373"/>
      <c r="O741" s="373"/>
      <c r="P741" s="373"/>
      <c r="Q741" s="373"/>
      <c r="R741" s="373"/>
      <c r="S741" s="373"/>
      <c r="T741" s="373"/>
      <c r="U741" s="373"/>
      <c r="V741" s="373"/>
    </row>
    <row r="742" spans="6:22" ht="58.5" customHeight="1" x14ac:dyDescent="0.3">
      <c r="F742" s="373"/>
      <c r="G742" s="373"/>
      <c r="H742" s="373"/>
      <c r="I742" s="373"/>
      <c r="J742" s="373"/>
      <c r="K742" s="374"/>
      <c r="L742" s="373"/>
      <c r="M742" s="373"/>
      <c r="N742" s="373"/>
      <c r="O742" s="373"/>
      <c r="P742" s="373"/>
      <c r="Q742" s="373"/>
      <c r="R742" s="373"/>
      <c r="S742" s="373"/>
      <c r="T742" s="373"/>
      <c r="U742" s="373"/>
      <c r="V742" s="373"/>
    </row>
    <row r="743" spans="6:22" ht="58.5" customHeight="1" x14ac:dyDescent="0.3">
      <c r="F743" s="373"/>
      <c r="G743" s="373"/>
      <c r="H743" s="373"/>
      <c r="I743" s="373"/>
      <c r="J743" s="373"/>
      <c r="K743" s="374"/>
      <c r="L743" s="373"/>
      <c r="M743" s="373"/>
      <c r="N743" s="373"/>
      <c r="O743" s="373"/>
      <c r="P743" s="373"/>
      <c r="Q743" s="373"/>
      <c r="R743" s="373"/>
      <c r="S743" s="373"/>
      <c r="T743" s="373"/>
      <c r="U743" s="373"/>
      <c r="V743" s="373"/>
    </row>
    <row r="744" spans="6:22" ht="58.5" customHeight="1" x14ac:dyDescent="0.3">
      <c r="F744" s="373"/>
      <c r="G744" s="373"/>
      <c r="H744" s="373"/>
      <c r="I744" s="373"/>
      <c r="J744" s="373"/>
      <c r="K744" s="374"/>
      <c r="L744" s="373"/>
      <c r="M744" s="373"/>
      <c r="N744" s="373"/>
      <c r="O744" s="373"/>
      <c r="P744" s="373"/>
      <c r="Q744" s="373"/>
      <c r="R744" s="373"/>
      <c r="S744" s="373"/>
      <c r="T744" s="373"/>
      <c r="U744" s="373"/>
      <c r="V744" s="373"/>
    </row>
    <row r="745" spans="6:22" ht="58.5" customHeight="1" x14ac:dyDescent="0.3">
      <c r="F745" s="373"/>
      <c r="G745" s="373"/>
      <c r="H745" s="373"/>
      <c r="I745" s="373"/>
      <c r="J745" s="373"/>
      <c r="K745" s="374"/>
      <c r="L745" s="373"/>
      <c r="M745" s="373"/>
      <c r="N745" s="373"/>
      <c r="O745" s="373"/>
      <c r="P745" s="373"/>
      <c r="Q745" s="373"/>
      <c r="R745" s="373"/>
      <c r="S745" s="373"/>
      <c r="T745" s="373"/>
      <c r="U745" s="373"/>
      <c r="V745" s="373"/>
    </row>
    <row r="746" spans="6:22" ht="58.5" customHeight="1" x14ac:dyDescent="0.3">
      <c r="F746" s="373"/>
      <c r="G746" s="373"/>
      <c r="H746" s="373"/>
      <c r="I746" s="373"/>
      <c r="J746" s="373"/>
      <c r="K746" s="374"/>
      <c r="L746" s="373"/>
      <c r="M746" s="373"/>
      <c r="N746" s="373"/>
      <c r="O746" s="373"/>
      <c r="P746" s="373"/>
      <c r="Q746" s="373"/>
      <c r="R746" s="373"/>
      <c r="S746" s="373"/>
      <c r="T746" s="373"/>
      <c r="U746" s="373"/>
      <c r="V746" s="373"/>
    </row>
    <row r="747" spans="6:22" ht="58.5" customHeight="1" x14ac:dyDescent="0.3">
      <c r="F747" s="373"/>
      <c r="G747" s="373"/>
      <c r="H747" s="373"/>
      <c r="I747" s="373"/>
      <c r="J747" s="373"/>
      <c r="K747" s="374"/>
      <c r="L747" s="373"/>
      <c r="M747" s="373"/>
      <c r="N747" s="373"/>
      <c r="O747" s="373"/>
      <c r="P747" s="373"/>
      <c r="Q747" s="373"/>
      <c r="R747" s="373"/>
      <c r="S747" s="373"/>
      <c r="T747" s="373"/>
      <c r="U747" s="373"/>
      <c r="V747" s="373"/>
    </row>
    <row r="748" spans="6:22" ht="58.5" customHeight="1" x14ac:dyDescent="0.3">
      <c r="F748" s="373"/>
      <c r="G748" s="373"/>
      <c r="H748" s="373"/>
      <c r="I748" s="373"/>
      <c r="J748" s="373"/>
      <c r="K748" s="374"/>
      <c r="L748" s="373"/>
      <c r="M748" s="373"/>
      <c r="N748" s="373"/>
      <c r="O748" s="373"/>
      <c r="P748" s="373"/>
      <c r="Q748" s="373"/>
      <c r="R748" s="373"/>
      <c r="S748" s="373"/>
      <c r="T748" s="373"/>
      <c r="U748" s="373"/>
      <c r="V748" s="373"/>
    </row>
    <row r="749" spans="6:22" ht="58.5" customHeight="1" x14ac:dyDescent="0.3">
      <c r="F749" s="373"/>
      <c r="G749" s="373"/>
      <c r="H749" s="373"/>
      <c r="I749" s="373"/>
      <c r="J749" s="373"/>
      <c r="K749" s="374"/>
      <c r="L749" s="373"/>
      <c r="M749" s="373"/>
      <c r="N749" s="373"/>
      <c r="O749" s="373"/>
      <c r="P749" s="373"/>
      <c r="Q749" s="373"/>
      <c r="R749" s="373"/>
      <c r="S749" s="373"/>
      <c r="T749" s="373"/>
      <c r="U749" s="373"/>
      <c r="V749" s="373"/>
    </row>
    <row r="750" spans="6:22" ht="58.5" customHeight="1" x14ac:dyDescent="0.3">
      <c r="F750" s="373"/>
      <c r="G750" s="373"/>
      <c r="H750" s="373"/>
      <c r="I750" s="373"/>
      <c r="J750" s="373"/>
      <c r="K750" s="374"/>
      <c r="L750" s="373"/>
      <c r="M750" s="373"/>
      <c r="N750" s="373"/>
      <c r="O750" s="373"/>
      <c r="P750" s="373"/>
      <c r="Q750" s="373"/>
      <c r="R750" s="373"/>
      <c r="S750" s="373"/>
      <c r="T750" s="373"/>
      <c r="U750" s="373"/>
      <c r="V750" s="373"/>
    </row>
    <row r="751" spans="6:22" ht="58.5" customHeight="1" x14ac:dyDescent="0.3">
      <c r="F751" s="373"/>
      <c r="G751" s="373"/>
      <c r="H751" s="373"/>
      <c r="I751" s="373"/>
      <c r="J751" s="373"/>
      <c r="K751" s="374"/>
      <c r="L751" s="373"/>
      <c r="M751" s="373"/>
      <c r="N751" s="373"/>
      <c r="O751" s="373"/>
      <c r="P751" s="373"/>
      <c r="Q751" s="373"/>
      <c r="R751" s="373"/>
      <c r="S751" s="373"/>
      <c r="T751" s="373"/>
      <c r="U751" s="373"/>
      <c r="V751" s="373"/>
    </row>
    <row r="752" spans="6:22" ht="58.5" customHeight="1" x14ac:dyDescent="0.3">
      <c r="F752" s="373"/>
      <c r="G752" s="373"/>
      <c r="H752" s="373"/>
      <c r="I752" s="373"/>
      <c r="J752" s="373"/>
      <c r="K752" s="374"/>
      <c r="L752" s="373"/>
      <c r="M752" s="373"/>
      <c r="N752" s="373"/>
      <c r="O752" s="373"/>
      <c r="P752" s="373"/>
      <c r="Q752" s="373"/>
      <c r="R752" s="373"/>
      <c r="S752" s="373"/>
      <c r="T752" s="373"/>
      <c r="U752" s="373"/>
      <c r="V752" s="373"/>
    </row>
    <row r="753" spans="6:22" ht="58.5" customHeight="1" x14ac:dyDescent="0.3">
      <c r="F753" s="373"/>
      <c r="G753" s="373"/>
      <c r="H753" s="373"/>
      <c r="I753" s="373"/>
      <c r="J753" s="373"/>
      <c r="K753" s="374"/>
      <c r="L753" s="373"/>
      <c r="M753" s="373"/>
      <c r="N753" s="373"/>
      <c r="O753" s="373"/>
      <c r="P753" s="373"/>
      <c r="Q753" s="373"/>
      <c r="R753" s="373"/>
      <c r="S753" s="373"/>
      <c r="T753" s="373"/>
      <c r="U753" s="373"/>
      <c r="V753" s="373"/>
    </row>
    <row r="754" spans="6:22" ht="58.5" customHeight="1" x14ac:dyDescent="0.3">
      <c r="F754" s="373"/>
      <c r="G754" s="373"/>
      <c r="H754" s="373"/>
      <c r="I754" s="373"/>
      <c r="J754" s="373"/>
      <c r="K754" s="374"/>
      <c r="L754" s="373"/>
      <c r="M754" s="373"/>
      <c r="N754" s="373"/>
      <c r="O754" s="373"/>
      <c r="P754" s="373"/>
      <c r="Q754" s="373"/>
      <c r="R754" s="373"/>
      <c r="S754" s="373"/>
      <c r="T754" s="373"/>
      <c r="U754" s="373"/>
      <c r="V754" s="373"/>
    </row>
    <row r="755" spans="6:22" ht="58.5" customHeight="1" x14ac:dyDescent="0.3">
      <c r="F755" s="373"/>
      <c r="G755" s="373"/>
      <c r="H755" s="373"/>
      <c r="I755" s="373"/>
      <c r="J755" s="373"/>
      <c r="K755" s="374"/>
      <c r="L755" s="373"/>
      <c r="M755" s="373"/>
      <c r="N755" s="373"/>
      <c r="O755" s="373"/>
      <c r="P755" s="373"/>
      <c r="Q755" s="373"/>
      <c r="R755" s="373"/>
      <c r="S755" s="373"/>
      <c r="T755" s="373"/>
      <c r="U755" s="373"/>
      <c r="V755" s="373"/>
    </row>
    <row r="756" spans="6:22" ht="58.5" customHeight="1" x14ac:dyDescent="0.3">
      <c r="F756" s="373"/>
      <c r="G756" s="373"/>
      <c r="H756" s="373"/>
      <c r="I756" s="373"/>
      <c r="J756" s="373"/>
      <c r="K756" s="374"/>
      <c r="L756" s="373"/>
      <c r="M756" s="373"/>
      <c r="N756" s="373"/>
      <c r="O756" s="373"/>
      <c r="P756" s="373"/>
      <c r="Q756" s="373"/>
      <c r="R756" s="373"/>
      <c r="S756" s="373"/>
      <c r="T756" s="373"/>
      <c r="U756" s="373"/>
      <c r="V756" s="373"/>
    </row>
    <row r="757" spans="6:22" ht="58.5" customHeight="1" x14ac:dyDescent="0.3">
      <c r="F757" s="373"/>
      <c r="G757" s="373"/>
      <c r="H757" s="373"/>
      <c r="I757" s="373"/>
      <c r="J757" s="373"/>
      <c r="K757" s="374"/>
      <c r="L757" s="373"/>
      <c r="M757" s="373"/>
      <c r="N757" s="373"/>
      <c r="O757" s="373"/>
      <c r="P757" s="373"/>
      <c r="Q757" s="373"/>
      <c r="R757" s="373"/>
      <c r="S757" s="373"/>
      <c r="T757" s="373"/>
      <c r="U757" s="373"/>
      <c r="V757" s="373"/>
    </row>
    <row r="758" spans="6:22" ht="58.5" customHeight="1" x14ac:dyDescent="0.3">
      <c r="F758" s="373"/>
      <c r="G758" s="373"/>
      <c r="H758" s="373"/>
      <c r="I758" s="373"/>
      <c r="J758" s="373"/>
      <c r="K758" s="374"/>
      <c r="L758" s="373"/>
      <c r="M758" s="373"/>
      <c r="N758" s="373"/>
      <c r="O758" s="373"/>
      <c r="P758" s="373"/>
      <c r="Q758" s="373"/>
      <c r="R758" s="373"/>
      <c r="S758" s="373"/>
      <c r="T758" s="373"/>
      <c r="U758" s="373"/>
      <c r="V758" s="373"/>
    </row>
    <row r="759" spans="6:22" ht="58.5" customHeight="1" x14ac:dyDescent="0.3">
      <c r="F759" s="373"/>
      <c r="G759" s="373"/>
      <c r="H759" s="373"/>
      <c r="I759" s="373"/>
      <c r="J759" s="373"/>
      <c r="K759" s="374"/>
      <c r="L759" s="373"/>
      <c r="M759" s="373"/>
      <c r="N759" s="373"/>
      <c r="O759" s="373"/>
      <c r="P759" s="373"/>
      <c r="Q759" s="373"/>
      <c r="R759" s="373"/>
      <c r="S759" s="373"/>
      <c r="T759" s="373"/>
      <c r="U759" s="373"/>
      <c r="V759" s="373"/>
    </row>
    <row r="760" spans="6:22" ht="58.5" customHeight="1" x14ac:dyDescent="0.3">
      <c r="F760" s="373"/>
      <c r="G760" s="373"/>
      <c r="H760" s="373"/>
      <c r="I760" s="373"/>
      <c r="J760" s="373"/>
      <c r="K760" s="374"/>
      <c r="L760" s="373"/>
      <c r="M760" s="373"/>
      <c r="N760" s="373"/>
      <c r="O760" s="373"/>
      <c r="P760" s="373"/>
      <c r="Q760" s="373"/>
      <c r="R760" s="373"/>
      <c r="S760" s="373"/>
      <c r="T760" s="373"/>
      <c r="U760" s="373"/>
      <c r="V760" s="373"/>
    </row>
    <row r="761" spans="6:22" ht="58.5" customHeight="1" x14ac:dyDescent="0.3">
      <c r="F761" s="373"/>
      <c r="G761" s="373"/>
      <c r="H761" s="373"/>
      <c r="I761" s="373"/>
      <c r="J761" s="373"/>
      <c r="K761" s="374"/>
      <c r="L761" s="373"/>
      <c r="M761" s="373"/>
      <c r="N761" s="373"/>
      <c r="O761" s="373"/>
      <c r="P761" s="373"/>
      <c r="Q761" s="373"/>
      <c r="R761" s="373"/>
      <c r="S761" s="373"/>
      <c r="T761" s="373"/>
      <c r="U761" s="373"/>
      <c r="V761" s="373"/>
    </row>
    <row r="762" spans="6:22" ht="58.5" customHeight="1" x14ac:dyDescent="0.3">
      <c r="F762" s="373"/>
      <c r="G762" s="373"/>
      <c r="H762" s="373"/>
      <c r="I762" s="373"/>
      <c r="J762" s="373"/>
      <c r="K762" s="374"/>
      <c r="L762" s="373"/>
      <c r="M762" s="373"/>
      <c r="N762" s="373"/>
      <c r="O762" s="373"/>
      <c r="P762" s="373"/>
      <c r="Q762" s="373"/>
      <c r="R762" s="373"/>
      <c r="S762" s="373"/>
      <c r="T762" s="373"/>
      <c r="U762" s="373"/>
      <c r="V762" s="373"/>
    </row>
    <row r="763" spans="6:22" ht="58.5" customHeight="1" x14ac:dyDescent="0.3">
      <c r="F763" s="373"/>
      <c r="G763" s="373"/>
      <c r="H763" s="373"/>
      <c r="I763" s="373"/>
      <c r="J763" s="373"/>
      <c r="K763" s="374"/>
      <c r="L763" s="373"/>
      <c r="M763" s="373"/>
      <c r="N763" s="373"/>
      <c r="O763" s="373"/>
      <c r="P763" s="373"/>
      <c r="Q763" s="373"/>
      <c r="R763" s="373"/>
      <c r="S763" s="373"/>
      <c r="T763" s="373"/>
      <c r="U763" s="373"/>
      <c r="V763" s="373"/>
    </row>
    <row r="764" spans="6:22" ht="58.5" customHeight="1" x14ac:dyDescent="0.3">
      <c r="F764" s="373"/>
      <c r="G764" s="373"/>
      <c r="H764" s="373"/>
      <c r="I764" s="373"/>
      <c r="J764" s="373"/>
      <c r="K764" s="374"/>
      <c r="L764" s="373"/>
      <c r="M764" s="373"/>
      <c r="N764" s="373"/>
      <c r="O764" s="373"/>
      <c r="P764" s="373"/>
      <c r="Q764" s="373"/>
      <c r="R764" s="373"/>
      <c r="S764" s="373"/>
      <c r="T764" s="373"/>
      <c r="U764" s="373"/>
      <c r="V764" s="373"/>
    </row>
    <row r="765" spans="6:22" ht="58.5" customHeight="1" x14ac:dyDescent="0.3">
      <c r="F765" s="373"/>
      <c r="G765" s="373"/>
      <c r="H765" s="373"/>
      <c r="I765" s="373"/>
      <c r="J765" s="373"/>
      <c r="K765" s="374"/>
      <c r="L765" s="373"/>
      <c r="M765" s="373"/>
      <c r="N765" s="373"/>
      <c r="O765" s="373"/>
      <c r="P765" s="373"/>
      <c r="Q765" s="373"/>
      <c r="R765" s="373"/>
      <c r="S765" s="373"/>
      <c r="T765" s="373"/>
      <c r="U765" s="373"/>
      <c r="V765" s="373"/>
    </row>
    <row r="766" spans="6:22" ht="58.5" customHeight="1" x14ac:dyDescent="0.3">
      <c r="F766" s="373"/>
      <c r="G766" s="373"/>
      <c r="H766" s="373"/>
      <c r="I766" s="373"/>
      <c r="J766" s="373"/>
      <c r="K766" s="374"/>
      <c r="L766" s="373"/>
      <c r="M766" s="373"/>
      <c r="N766" s="373"/>
      <c r="O766" s="373"/>
      <c r="P766" s="373"/>
      <c r="Q766" s="373"/>
      <c r="R766" s="373"/>
      <c r="S766" s="373"/>
      <c r="T766" s="373"/>
      <c r="U766" s="373"/>
      <c r="V766" s="373"/>
    </row>
    <row r="767" spans="6:22" ht="58.5" customHeight="1" x14ac:dyDescent="0.3">
      <c r="F767" s="373"/>
      <c r="G767" s="373"/>
      <c r="H767" s="373"/>
      <c r="I767" s="373"/>
      <c r="J767" s="373"/>
      <c r="K767" s="374"/>
      <c r="L767" s="373"/>
      <c r="M767" s="373"/>
      <c r="N767" s="373"/>
      <c r="O767" s="373"/>
      <c r="P767" s="373"/>
      <c r="Q767" s="373"/>
      <c r="R767" s="373"/>
      <c r="S767" s="373"/>
      <c r="T767" s="373"/>
      <c r="U767" s="373"/>
      <c r="V767" s="373"/>
    </row>
    <row r="768" spans="6:22" ht="58.5" customHeight="1" x14ac:dyDescent="0.3">
      <c r="F768" s="373"/>
      <c r="G768" s="373"/>
      <c r="H768" s="373"/>
      <c r="I768" s="373"/>
      <c r="J768" s="373"/>
      <c r="K768" s="374"/>
      <c r="L768" s="373"/>
      <c r="M768" s="373"/>
      <c r="N768" s="373"/>
      <c r="O768" s="373"/>
      <c r="P768" s="373"/>
      <c r="Q768" s="373"/>
      <c r="R768" s="373"/>
      <c r="S768" s="373"/>
      <c r="T768" s="373"/>
      <c r="U768" s="373"/>
      <c r="V768" s="373"/>
    </row>
    <row r="769" spans="6:22" ht="58.5" customHeight="1" x14ac:dyDescent="0.3">
      <c r="F769" s="373"/>
      <c r="G769" s="373"/>
      <c r="H769" s="373"/>
      <c r="I769" s="373"/>
      <c r="J769" s="373"/>
      <c r="K769" s="374"/>
      <c r="L769" s="373"/>
      <c r="M769" s="373"/>
      <c r="N769" s="373"/>
      <c r="O769" s="373"/>
      <c r="P769" s="373"/>
      <c r="Q769" s="373"/>
      <c r="R769" s="373"/>
      <c r="S769" s="373"/>
      <c r="T769" s="373"/>
      <c r="U769" s="373"/>
      <c r="V769" s="373"/>
    </row>
    <row r="770" spans="6:22" ht="58.5" customHeight="1" x14ac:dyDescent="0.3">
      <c r="F770" s="373"/>
      <c r="G770" s="373"/>
      <c r="H770" s="373"/>
      <c r="I770" s="373"/>
      <c r="J770" s="373"/>
      <c r="K770" s="374"/>
      <c r="L770" s="373"/>
      <c r="M770" s="373"/>
      <c r="N770" s="373"/>
      <c r="O770" s="373"/>
      <c r="P770" s="373"/>
      <c r="Q770" s="373"/>
      <c r="R770" s="373"/>
      <c r="S770" s="373"/>
      <c r="T770" s="373"/>
      <c r="U770" s="373"/>
      <c r="V770" s="373"/>
    </row>
    <row r="771" spans="6:22" ht="58.5" customHeight="1" x14ac:dyDescent="0.3">
      <c r="F771" s="373"/>
      <c r="G771" s="373"/>
      <c r="H771" s="373"/>
      <c r="I771" s="373"/>
      <c r="J771" s="373"/>
      <c r="K771" s="374"/>
      <c r="L771" s="373"/>
      <c r="M771" s="373"/>
      <c r="N771" s="373"/>
      <c r="O771" s="373"/>
      <c r="P771" s="373"/>
      <c r="Q771" s="373"/>
      <c r="R771" s="373"/>
      <c r="S771" s="373"/>
      <c r="T771" s="373"/>
      <c r="U771" s="373"/>
      <c r="V771" s="373"/>
    </row>
    <row r="772" spans="6:22" ht="58.5" customHeight="1" x14ac:dyDescent="0.3">
      <c r="F772" s="373"/>
      <c r="G772" s="373"/>
      <c r="H772" s="373"/>
      <c r="I772" s="373"/>
      <c r="J772" s="373"/>
      <c r="K772" s="374"/>
      <c r="L772" s="373"/>
      <c r="M772" s="373"/>
      <c r="N772" s="373"/>
      <c r="O772" s="373"/>
      <c r="P772" s="373"/>
      <c r="Q772" s="373"/>
      <c r="R772" s="373"/>
      <c r="S772" s="373"/>
      <c r="T772" s="373"/>
      <c r="U772" s="373"/>
      <c r="V772" s="373"/>
    </row>
    <row r="773" spans="6:22" ht="58.5" customHeight="1" x14ac:dyDescent="0.3">
      <c r="F773" s="373"/>
      <c r="G773" s="373"/>
      <c r="H773" s="373"/>
      <c r="I773" s="373"/>
      <c r="J773" s="373"/>
      <c r="K773" s="374"/>
      <c r="L773" s="373"/>
      <c r="M773" s="373"/>
      <c r="N773" s="373"/>
      <c r="O773" s="373"/>
      <c r="P773" s="373"/>
      <c r="Q773" s="373"/>
      <c r="R773" s="373"/>
      <c r="S773" s="373"/>
      <c r="T773" s="373"/>
      <c r="U773" s="373"/>
      <c r="V773" s="373"/>
    </row>
    <row r="774" spans="6:22" ht="58.5" customHeight="1" x14ac:dyDescent="0.3">
      <c r="F774" s="373"/>
      <c r="G774" s="373"/>
      <c r="H774" s="373"/>
      <c r="I774" s="373"/>
      <c r="J774" s="373"/>
      <c r="K774" s="374"/>
      <c r="L774" s="373"/>
      <c r="M774" s="373"/>
      <c r="N774" s="373"/>
      <c r="O774" s="373"/>
      <c r="P774" s="373"/>
      <c r="Q774" s="373"/>
      <c r="R774" s="373"/>
      <c r="S774" s="373"/>
      <c r="T774" s="373"/>
      <c r="U774" s="373"/>
      <c r="V774" s="373"/>
    </row>
    <row r="775" spans="6:22" ht="58.5" customHeight="1" x14ac:dyDescent="0.3">
      <c r="F775" s="373"/>
      <c r="G775" s="373"/>
      <c r="H775" s="373"/>
      <c r="I775" s="373"/>
      <c r="J775" s="373"/>
      <c r="K775" s="374"/>
      <c r="L775" s="373"/>
      <c r="M775" s="373"/>
      <c r="N775" s="373"/>
      <c r="O775" s="373"/>
      <c r="P775" s="373"/>
      <c r="Q775" s="373"/>
      <c r="R775" s="373"/>
      <c r="S775" s="373"/>
      <c r="T775" s="373"/>
      <c r="U775" s="373"/>
      <c r="V775" s="373"/>
    </row>
    <row r="776" spans="6:22" ht="58.5" customHeight="1" x14ac:dyDescent="0.3">
      <c r="F776" s="373"/>
      <c r="G776" s="373"/>
      <c r="H776" s="373"/>
      <c r="I776" s="373"/>
      <c r="J776" s="373"/>
      <c r="K776" s="374"/>
      <c r="L776" s="373"/>
      <c r="M776" s="373"/>
      <c r="N776" s="373"/>
      <c r="O776" s="373"/>
      <c r="P776" s="373"/>
      <c r="Q776" s="373"/>
      <c r="R776" s="373"/>
      <c r="S776" s="373"/>
      <c r="T776" s="373"/>
      <c r="U776" s="373"/>
      <c r="V776" s="373"/>
    </row>
    <row r="777" spans="6:22" ht="58.5" customHeight="1" x14ac:dyDescent="0.3">
      <c r="F777" s="373"/>
      <c r="G777" s="373"/>
      <c r="H777" s="373"/>
      <c r="I777" s="373"/>
      <c r="J777" s="373"/>
      <c r="K777" s="374"/>
      <c r="L777" s="373"/>
      <c r="M777" s="373"/>
      <c r="N777" s="373"/>
      <c r="O777" s="373"/>
      <c r="P777" s="373"/>
      <c r="Q777" s="373"/>
      <c r="R777" s="373"/>
      <c r="S777" s="373"/>
      <c r="T777" s="373"/>
      <c r="U777" s="373"/>
      <c r="V777" s="373"/>
    </row>
    <row r="778" spans="6:22" ht="58.5" customHeight="1" x14ac:dyDescent="0.3">
      <c r="F778" s="373"/>
      <c r="G778" s="373"/>
      <c r="H778" s="373"/>
      <c r="I778" s="373"/>
      <c r="J778" s="373"/>
      <c r="K778" s="374"/>
      <c r="L778" s="373"/>
      <c r="M778" s="373"/>
      <c r="N778" s="373"/>
      <c r="O778" s="373"/>
      <c r="P778" s="373"/>
      <c r="Q778" s="373"/>
      <c r="R778" s="373"/>
      <c r="S778" s="373"/>
      <c r="T778" s="373"/>
      <c r="U778" s="373"/>
      <c r="V778" s="373"/>
    </row>
    <row r="779" spans="6:22" ht="58.5" customHeight="1" x14ac:dyDescent="0.3">
      <c r="F779" s="373"/>
      <c r="G779" s="373"/>
      <c r="H779" s="373"/>
      <c r="I779" s="373"/>
      <c r="J779" s="373"/>
      <c r="K779" s="374"/>
      <c r="L779" s="373"/>
      <c r="M779" s="373"/>
      <c r="N779" s="373"/>
      <c r="O779" s="373"/>
      <c r="P779" s="373"/>
      <c r="Q779" s="373"/>
      <c r="R779" s="373"/>
      <c r="S779" s="373"/>
      <c r="T779" s="373"/>
      <c r="U779" s="373"/>
      <c r="V779" s="373"/>
    </row>
    <row r="780" spans="6:22" ht="58.5" customHeight="1" x14ac:dyDescent="0.3">
      <c r="F780" s="373"/>
      <c r="G780" s="373"/>
      <c r="H780" s="373"/>
      <c r="I780" s="373"/>
      <c r="J780" s="373"/>
      <c r="K780" s="374"/>
      <c r="L780" s="373"/>
      <c r="M780" s="373"/>
      <c r="N780" s="373"/>
      <c r="O780" s="373"/>
      <c r="P780" s="373"/>
      <c r="Q780" s="373"/>
      <c r="R780" s="373"/>
      <c r="S780" s="373"/>
      <c r="T780" s="373"/>
      <c r="U780" s="373"/>
      <c r="V780" s="373"/>
    </row>
    <row r="781" spans="6:22" ht="58.5" customHeight="1" x14ac:dyDescent="0.3">
      <c r="F781" s="373"/>
      <c r="G781" s="373"/>
      <c r="H781" s="373"/>
      <c r="I781" s="373"/>
      <c r="J781" s="373"/>
      <c r="K781" s="374"/>
      <c r="L781" s="373"/>
      <c r="M781" s="373"/>
      <c r="N781" s="373"/>
      <c r="O781" s="373"/>
      <c r="P781" s="373"/>
      <c r="Q781" s="373"/>
      <c r="R781" s="373"/>
      <c r="S781" s="373"/>
      <c r="T781" s="373"/>
      <c r="U781" s="373"/>
      <c r="V781" s="373"/>
    </row>
    <row r="782" spans="6:22" ht="58.5" customHeight="1" x14ac:dyDescent="0.3">
      <c r="F782" s="373"/>
      <c r="G782" s="373"/>
      <c r="H782" s="373"/>
      <c r="I782" s="373"/>
      <c r="J782" s="373"/>
      <c r="K782" s="374"/>
      <c r="L782" s="373"/>
      <c r="M782" s="373"/>
      <c r="N782" s="373"/>
      <c r="O782" s="373"/>
      <c r="P782" s="373"/>
      <c r="Q782" s="373"/>
      <c r="R782" s="373"/>
      <c r="S782" s="373"/>
      <c r="T782" s="373"/>
      <c r="U782" s="373"/>
      <c r="V782" s="373"/>
    </row>
    <row r="783" spans="6:22" ht="58.5" customHeight="1" x14ac:dyDescent="0.3">
      <c r="F783" s="373"/>
      <c r="G783" s="373"/>
      <c r="H783" s="373"/>
      <c r="I783" s="373"/>
      <c r="J783" s="373"/>
      <c r="K783" s="374"/>
      <c r="L783" s="373"/>
      <c r="M783" s="373"/>
      <c r="N783" s="373"/>
      <c r="O783" s="373"/>
      <c r="P783" s="373"/>
      <c r="Q783" s="373"/>
      <c r="R783" s="373"/>
      <c r="S783" s="373"/>
      <c r="T783" s="373"/>
      <c r="U783" s="373"/>
      <c r="V783" s="373"/>
    </row>
    <row r="784" spans="6:22" ht="58.5" customHeight="1" x14ac:dyDescent="0.3">
      <c r="F784" s="373"/>
      <c r="G784" s="373"/>
      <c r="H784" s="373"/>
      <c r="I784" s="373"/>
      <c r="J784" s="373"/>
      <c r="K784" s="374"/>
      <c r="L784" s="373"/>
      <c r="M784" s="373"/>
      <c r="N784" s="373"/>
      <c r="O784" s="373"/>
      <c r="P784" s="373"/>
      <c r="Q784" s="373"/>
      <c r="R784" s="373"/>
      <c r="S784" s="373"/>
      <c r="T784" s="373"/>
      <c r="U784" s="373"/>
      <c r="V784" s="373"/>
    </row>
    <row r="785" spans="6:22" ht="58.5" customHeight="1" x14ac:dyDescent="0.3">
      <c r="F785" s="373"/>
      <c r="G785" s="373"/>
      <c r="H785" s="373"/>
      <c r="I785" s="373"/>
      <c r="J785" s="373"/>
      <c r="K785" s="374"/>
      <c r="L785" s="373"/>
      <c r="M785" s="373"/>
      <c r="N785" s="373"/>
      <c r="O785" s="373"/>
      <c r="P785" s="373"/>
      <c r="Q785" s="373"/>
      <c r="R785" s="373"/>
      <c r="S785" s="373"/>
      <c r="T785" s="373"/>
      <c r="U785" s="373"/>
      <c r="V785" s="373"/>
    </row>
    <row r="786" spans="6:22" ht="58.5" customHeight="1" x14ac:dyDescent="0.3">
      <c r="F786" s="373"/>
      <c r="G786" s="373"/>
      <c r="H786" s="373"/>
      <c r="I786" s="373"/>
      <c r="J786" s="373"/>
      <c r="K786" s="374"/>
      <c r="L786" s="373"/>
      <c r="M786" s="373"/>
      <c r="N786" s="373"/>
      <c r="O786" s="373"/>
      <c r="P786" s="373"/>
      <c r="Q786" s="373"/>
      <c r="R786" s="373"/>
      <c r="S786" s="373"/>
      <c r="T786" s="373"/>
      <c r="U786" s="373"/>
      <c r="V786" s="373"/>
    </row>
    <row r="787" spans="6:22" ht="58.5" customHeight="1" x14ac:dyDescent="0.3">
      <c r="F787" s="373"/>
      <c r="G787" s="373"/>
      <c r="H787" s="373"/>
      <c r="I787" s="373"/>
      <c r="J787" s="373"/>
      <c r="K787" s="374"/>
      <c r="L787" s="373"/>
      <c r="M787" s="373"/>
      <c r="N787" s="373"/>
      <c r="O787" s="373"/>
      <c r="P787" s="373"/>
      <c r="Q787" s="373"/>
      <c r="R787" s="373"/>
      <c r="S787" s="373"/>
      <c r="T787" s="373"/>
      <c r="U787" s="373"/>
      <c r="V787" s="373"/>
    </row>
    <row r="788" spans="6:22" ht="58.5" customHeight="1" x14ac:dyDescent="0.3">
      <c r="F788" s="373"/>
      <c r="G788" s="373"/>
      <c r="H788" s="373"/>
      <c r="I788" s="373"/>
      <c r="J788" s="373"/>
      <c r="K788" s="374"/>
      <c r="L788" s="373"/>
      <c r="M788" s="373"/>
      <c r="N788" s="373"/>
      <c r="O788" s="373"/>
      <c r="P788" s="373"/>
      <c r="Q788" s="373"/>
      <c r="R788" s="373"/>
      <c r="S788" s="373"/>
      <c r="T788" s="373"/>
      <c r="U788" s="373"/>
      <c r="V788" s="373"/>
    </row>
    <row r="789" spans="6:22" ht="58.5" customHeight="1" x14ac:dyDescent="0.3">
      <c r="F789" s="373"/>
      <c r="G789" s="373"/>
      <c r="H789" s="373"/>
      <c r="I789" s="373"/>
      <c r="J789" s="373"/>
      <c r="K789" s="374"/>
      <c r="L789" s="373"/>
      <c r="M789" s="373"/>
      <c r="N789" s="373"/>
      <c r="O789" s="373"/>
      <c r="P789" s="373"/>
      <c r="Q789" s="373"/>
      <c r="R789" s="373"/>
      <c r="S789" s="373"/>
      <c r="T789" s="373"/>
      <c r="U789" s="373"/>
      <c r="V789" s="373"/>
    </row>
    <row r="790" spans="6:22" ht="58.5" customHeight="1" x14ac:dyDescent="0.3">
      <c r="F790" s="373"/>
      <c r="G790" s="373"/>
      <c r="H790" s="373"/>
      <c r="I790" s="373"/>
      <c r="J790" s="373"/>
      <c r="K790" s="374"/>
      <c r="L790" s="373"/>
      <c r="M790" s="373"/>
      <c r="N790" s="373"/>
      <c r="O790" s="373"/>
      <c r="P790" s="373"/>
      <c r="Q790" s="373"/>
      <c r="R790" s="373"/>
      <c r="S790" s="373"/>
      <c r="T790" s="373"/>
      <c r="U790" s="373"/>
      <c r="V790" s="373"/>
    </row>
    <row r="791" spans="6:22" ht="58.5" customHeight="1" x14ac:dyDescent="0.3">
      <c r="F791" s="373"/>
      <c r="G791" s="373"/>
      <c r="H791" s="373"/>
      <c r="I791" s="373"/>
      <c r="J791" s="373"/>
      <c r="K791" s="374"/>
      <c r="L791" s="373"/>
      <c r="M791" s="373"/>
      <c r="N791" s="373"/>
      <c r="O791" s="373"/>
      <c r="P791" s="373"/>
      <c r="Q791" s="373"/>
      <c r="R791" s="373"/>
      <c r="S791" s="373"/>
      <c r="T791" s="373"/>
      <c r="U791" s="373"/>
      <c r="V791" s="373"/>
    </row>
    <row r="792" spans="6:22" ht="58.5" customHeight="1" x14ac:dyDescent="0.3">
      <c r="F792" s="373"/>
      <c r="G792" s="373"/>
      <c r="H792" s="373"/>
      <c r="I792" s="373"/>
      <c r="J792" s="373"/>
      <c r="K792" s="374"/>
      <c r="L792" s="373"/>
      <c r="M792" s="373"/>
      <c r="N792" s="373"/>
      <c r="O792" s="373"/>
      <c r="P792" s="373"/>
      <c r="Q792" s="373"/>
      <c r="R792" s="373"/>
      <c r="S792" s="373"/>
      <c r="T792" s="373"/>
      <c r="U792" s="373"/>
      <c r="V792" s="373"/>
    </row>
    <row r="793" spans="6:22" ht="58.5" customHeight="1" x14ac:dyDescent="0.3">
      <c r="F793" s="373"/>
      <c r="G793" s="373"/>
      <c r="H793" s="373"/>
      <c r="I793" s="373"/>
      <c r="J793" s="373"/>
      <c r="K793" s="374"/>
      <c r="L793" s="373"/>
      <c r="M793" s="373"/>
      <c r="N793" s="373"/>
      <c r="O793" s="373"/>
      <c r="P793" s="373"/>
      <c r="Q793" s="373"/>
      <c r="R793" s="373"/>
      <c r="S793" s="373"/>
      <c r="T793" s="373"/>
      <c r="U793" s="373"/>
      <c r="V793" s="373"/>
    </row>
    <row r="794" spans="6:22" ht="58.5" customHeight="1" x14ac:dyDescent="0.3">
      <c r="F794" s="373"/>
      <c r="G794" s="373"/>
      <c r="H794" s="373"/>
      <c r="I794" s="373"/>
      <c r="J794" s="373"/>
      <c r="K794" s="374"/>
      <c r="L794" s="373"/>
      <c r="M794" s="373"/>
      <c r="N794" s="373"/>
      <c r="O794" s="373"/>
      <c r="P794" s="373"/>
      <c r="Q794" s="373"/>
      <c r="R794" s="373"/>
      <c r="S794" s="373"/>
      <c r="T794" s="373"/>
      <c r="U794" s="373"/>
      <c r="V794" s="373"/>
    </row>
    <row r="795" spans="6:22" ht="58.5" customHeight="1" x14ac:dyDescent="0.3">
      <c r="F795" s="373"/>
      <c r="G795" s="373"/>
      <c r="H795" s="373"/>
      <c r="I795" s="373"/>
      <c r="J795" s="373"/>
      <c r="K795" s="374"/>
      <c r="L795" s="373"/>
      <c r="M795" s="373"/>
      <c r="N795" s="373"/>
      <c r="O795" s="373"/>
      <c r="P795" s="373"/>
      <c r="Q795" s="373"/>
      <c r="R795" s="373"/>
      <c r="S795" s="373"/>
      <c r="T795" s="373"/>
      <c r="U795" s="373"/>
      <c r="V795" s="373"/>
    </row>
    <row r="796" spans="6:22" ht="58.5" customHeight="1" x14ac:dyDescent="0.3">
      <c r="F796" s="373"/>
      <c r="G796" s="373"/>
      <c r="H796" s="373"/>
      <c r="I796" s="373"/>
      <c r="J796" s="373"/>
      <c r="K796" s="374"/>
      <c r="L796" s="373"/>
      <c r="M796" s="373"/>
      <c r="N796" s="373"/>
      <c r="O796" s="373"/>
      <c r="P796" s="373"/>
      <c r="Q796" s="373"/>
      <c r="R796" s="373"/>
      <c r="S796" s="373"/>
      <c r="T796" s="373"/>
      <c r="U796" s="373"/>
      <c r="V796" s="373"/>
    </row>
    <row r="797" spans="6:22" ht="58.5" customHeight="1" x14ac:dyDescent="0.3">
      <c r="F797" s="373"/>
      <c r="G797" s="373"/>
      <c r="H797" s="373"/>
      <c r="I797" s="373"/>
      <c r="J797" s="373"/>
      <c r="K797" s="374"/>
      <c r="L797" s="373"/>
      <c r="M797" s="373"/>
      <c r="N797" s="373"/>
      <c r="O797" s="373"/>
      <c r="P797" s="373"/>
      <c r="Q797" s="373"/>
      <c r="R797" s="373"/>
      <c r="S797" s="373"/>
      <c r="T797" s="373"/>
      <c r="U797" s="373"/>
      <c r="V797" s="373"/>
    </row>
    <row r="798" spans="6:22" ht="58.5" customHeight="1" x14ac:dyDescent="0.3">
      <c r="F798" s="373"/>
      <c r="G798" s="373"/>
      <c r="H798" s="373"/>
      <c r="I798" s="373"/>
      <c r="J798" s="373"/>
      <c r="K798" s="374"/>
      <c r="L798" s="373"/>
      <c r="M798" s="373"/>
      <c r="N798" s="373"/>
      <c r="O798" s="373"/>
      <c r="P798" s="373"/>
      <c r="Q798" s="373"/>
      <c r="R798" s="373"/>
      <c r="S798" s="373"/>
      <c r="T798" s="373"/>
      <c r="U798" s="373"/>
      <c r="V798" s="373"/>
    </row>
    <row r="799" spans="6:22" ht="58.5" customHeight="1" x14ac:dyDescent="0.3">
      <c r="F799" s="373"/>
      <c r="G799" s="373"/>
      <c r="H799" s="373"/>
      <c r="I799" s="373"/>
      <c r="J799" s="373"/>
      <c r="K799" s="374"/>
      <c r="L799" s="373"/>
      <c r="M799" s="373"/>
      <c r="N799" s="373"/>
      <c r="O799" s="373"/>
      <c r="P799" s="373"/>
      <c r="Q799" s="373"/>
      <c r="R799" s="373"/>
      <c r="S799" s="373"/>
      <c r="T799" s="373"/>
      <c r="U799" s="373"/>
      <c r="V799" s="373"/>
    </row>
    <row r="800" spans="6:22" ht="58.5" customHeight="1" x14ac:dyDescent="0.3">
      <c r="F800" s="373"/>
      <c r="G800" s="373"/>
      <c r="H800" s="373"/>
      <c r="I800" s="373"/>
      <c r="J800" s="373"/>
      <c r="K800" s="374"/>
      <c r="L800" s="373"/>
      <c r="M800" s="373"/>
      <c r="N800" s="373"/>
      <c r="O800" s="373"/>
      <c r="P800" s="373"/>
      <c r="Q800" s="373"/>
      <c r="R800" s="373"/>
      <c r="S800" s="373"/>
      <c r="T800" s="373"/>
      <c r="U800" s="373"/>
      <c r="V800" s="373"/>
    </row>
    <row r="801" spans="6:22" ht="58.5" customHeight="1" x14ac:dyDescent="0.3">
      <c r="F801" s="373"/>
      <c r="G801" s="373"/>
      <c r="H801" s="373"/>
      <c r="I801" s="373"/>
      <c r="J801" s="373"/>
      <c r="K801" s="374"/>
      <c r="L801" s="373"/>
      <c r="M801" s="373"/>
      <c r="N801" s="373"/>
      <c r="O801" s="373"/>
      <c r="P801" s="373"/>
      <c r="Q801" s="373"/>
      <c r="R801" s="373"/>
      <c r="S801" s="373"/>
      <c r="T801" s="373"/>
      <c r="U801" s="373"/>
      <c r="V801" s="373"/>
    </row>
    <row r="802" spans="6:22" ht="58.5" customHeight="1" x14ac:dyDescent="0.3">
      <c r="F802" s="373"/>
      <c r="G802" s="373"/>
      <c r="H802" s="373"/>
      <c r="I802" s="373"/>
      <c r="J802" s="373"/>
      <c r="K802" s="374"/>
      <c r="L802" s="373"/>
      <c r="M802" s="373"/>
      <c r="N802" s="373"/>
      <c r="O802" s="373"/>
      <c r="P802" s="373"/>
      <c r="Q802" s="373"/>
      <c r="R802" s="373"/>
      <c r="S802" s="373"/>
      <c r="T802" s="373"/>
      <c r="U802" s="373"/>
      <c r="V802" s="373"/>
    </row>
    <row r="803" spans="6:22" ht="58.5" customHeight="1" x14ac:dyDescent="0.3">
      <c r="F803" s="373"/>
      <c r="G803" s="373"/>
      <c r="H803" s="373"/>
      <c r="I803" s="373"/>
      <c r="J803" s="373"/>
      <c r="K803" s="374"/>
      <c r="L803" s="373"/>
      <c r="M803" s="373"/>
      <c r="N803" s="373"/>
      <c r="O803" s="373"/>
      <c r="P803" s="373"/>
      <c r="Q803" s="373"/>
      <c r="R803" s="373"/>
      <c r="S803" s="373"/>
      <c r="T803" s="373"/>
      <c r="U803" s="373"/>
      <c r="V803" s="373"/>
    </row>
    <row r="804" spans="6:22" ht="58.5" customHeight="1" x14ac:dyDescent="0.3">
      <c r="F804" s="373"/>
      <c r="G804" s="373"/>
      <c r="H804" s="373"/>
      <c r="I804" s="373"/>
      <c r="J804" s="373"/>
      <c r="K804" s="374"/>
      <c r="L804" s="373"/>
      <c r="M804" s="373"/>
      <c r="N804" s="373"/>
      <c r="O804" s="373"/>
      <c r="P804" s="373"/>
      <c r="Q804" s="373"/>
      <c r="R804" s="373"/>
      <c r="S804" s="373"/>
      <c r="T804" s="373"/>
      <c r="U804" s="373"/>
      <c r="V804" s="373"/>
    </row>
    <row r="805" spans="6:22" ht="58.5" customHeight="1" x14ac:dyDescent="0.3">
      <c r="F805" s="373"/>
      <c r="G805" s="373"/>
      <c r="H805" s="373"/>
      <c r="I805" s="373"/>
      <c r="J805" s="373"/>
      <c r="K805" s="374"/>
      <c r="L805" s="373"/>
      <c r="M805" s="373"/>
      <c r="N805" s="373"/>
      <c r="O805" s="373"/>
      <c r="P805" s="373"/>
      <c r="Q805" s="373"/>
      <c r="R805" s="373"/>
      <c r="S805" s="373"/>
      <c r="T805" s="373"/>
      <c r="U805" s="373"/>
      <c r="V805" s="373"/>
    </row>
    <row r="806" spans="6:22" ht="58.5" customHeight="1" x14ac:dyDescent="0.3">
      <c r="F806" s="373"/>
      <c r="G806" s="373"/>
      <c r="H806" s="373"/>
      <c r="I806" s="373"/>
      <c r="J806" s="373"/>
      <c r="K806" s="374"/>
      <c r="L806" s="373"/>
      <c r="M806" s="373"/>
      <c r="N806" s="373"/>
      <c r="O806" s="373"/>
      <c r="P806" s="373"/>
      <c r="Q806" s="373"/>
      <c r="R806" s="373"/>
      <c r="S806" s="373"/>
      <c r="T806" s="373"/>
      <c r="U806" s="373"/>
      <c r="V806" s="373"/>
    </row>
    <row r="807" spans="6:22" ht="58.5" customHeight="1" x14ac:dyDescent="0.3">
      <c r="F807" s="373"/>
      <c r="G807" s="373"/>
      <c r="H807" s="373"/>
      <c r="I807" s="373"/>
      <c r="J807" s="373"/>
      <c r="K807" s="374"/>
      <c r="L807" s="373"/>
      <c r="M807" s="373"/>
      <c r="N807" s="373"/>
      <c r="O807" s="373"/>
      <c r="P807" s="373"/>
      <c r="Q807" s="373"/>
      <c r="R807" s="373"/>
      <c r="S807" s="373"/>
      <c r="T807" s="373"/>
      <c r="U807" s="373"/>
      <c r="V807" s="373"/>
    </row>
    <row r="808" spans="6:22" ht="58.5" customHeight="1" x14ac:dyDescent="0.3">
      <c r="F808" s="373"/>
      <c r="G808" s="373"/>
      <c r="H808" s="373"/>
      <c r="I808" s="373"/>
      <c r="J808" s="373"/>
      <c r="K808" s="374"/>
      <c r="L808" s="373"/>
      <c r="M808" s="373"/>
      <c r="N808" s="373"/>
      <c r="O808" s="373"/>
      <c r="P808" s="373"/>
      <c r="Q808" s="373"/>
      <c r="R808" s="373"/>
      <c r="S808" s="373"/>
      <c r="T808" s="373"/>
      <c r="U808" s="373"/>
      <c r="V808" s="373"/>
    </row>
    <row r="809" spans="6:22" ht="58.5" customHeight="1" x14ac:dyDescent="0.3">
      <c r="F809" s="373"/>
      <c r="G809" s="373"/>
      <c r="H809" s="373"/>
      <c r="I809" s="373"/>
      <c r="J809" s="373"/>
      <c r="K809" s="374"/>
      <c r="L809" s="373"/>
      <c r="M809" s="373"/>
      <c r="N809" s="373"/>
      <c r="O809" s="373"/>
      <c r="P809" s="373"/>
      <c r="Q809" s="373"/>
      <c r="R809" s="373"/>
      <c r="S809" s="373"/>
      <c r="T809" s="373"/>
      <c r="U809" s="373"/>
      <c r="V809" s="373"/>
    </row>
    <row r="810" spans="6:22" ht="58.5" customHeight="1" x14ac:dyDescent="0.3">
      <c r="F810" s="373"/>
      <c r="G810" s="373"/>
      <c r="H810" s="373"/>
      <c r="I810" s="373"/>
      <c r="J810" s="373"/>
      <c r="K810" s="374"/>
      <c r="L810" s="373"/>
      <c r="M810" s="373"/>
      <c r="N810" s="373"/>
      <c r="O810" s="373"/>
      <c r="P810" s="373"/>
      <c r="Q810" s="373"/>
      <c r="R810" s="373"/>
      <c r="S810" s="373"/>
      <c r="T810" s="373"/>
      <c r="U810" s="373"/>
      <c r="V810" s="373"/>
    </row>
    <row r="811" spans="6:22" ht="58.5" customHeight="1" x14ac:dyDescent="0.3">
      <c r="F811" s="373"/>
      <c r="G811" s="373"/>
      <c r="H811" s="373"/>
      <c r="I811" s="373"/>
      <c r="J811" s="373"/>
      <c r="K811" s="374"/>
      <c r="L811" s="373"/>
      <c r="M811" s="373"/>
      <c r="N811" s="373"/>
      <c r="O811" s="373"/>
      <c r="P811" s="373"/>
      <c r="Q811" s="373"/>
      <c r="R811" s="373"/>
      <c r="S811" s="373"/>
      <c r="T811" s="373"/>
      <c r="U811" s="373"/>
      <c r="V811" s="373"/>
    </row>
    <row r="812" spans="6:22" ht="58.5" customHeight="1" x14ac:dyDescent="0.3">
      <c r="F812" s="373"/>
      <c r="G812" s="373"/>
      <c r="H812" s="373"/>
      <c r="I812" s="373"/>
      <c r="J812" s="373"/>
      <c r="K812" s="374"/>
      <c r="L812" s="373"/>
      <c r="M812" s="373"/>
      <c r="N812" s="373"/>
      <c r="O812" s="373"/>
      <c r="P812" s="373"/>
      <c r="Q812" s="373"/>
      <c r="R812" s="373"/>
      <c r="S812" s="373"/>
      <c r="T812" s="373"/>
      <c r="U812" s="373"/>
      <c r="V812" s="373"/>
    </row>
    <row r="813" spans="6:22" ht="58.5" customHeight="1" x14ac:dyDescent="0.3">
      <c r="F813" s="373"/>
      <c r="G813" s="373"/>
      <c r="H813" s="373"/>
      <c r="I813" s="373"/>
      <c r="J813" s="373"/>
      <c r="K813" s="374"/>
      <c r="L813" s="373"/>
      <c r="M813" s="373"/>
      <c r="N813" s="373"/>
      <c r="O813" s="373"/>
      <c r="P813" s="373"/>
      <c r="Q813" s="373"/>
      <c r="R813" s="373"/>
      <c r="S813" s="373"/>
      <c r="T813" s="373"/>
      <c r="U813" s="373"/>
      <c r="V813" s="373"/>
    </row>
    <row r="814" spans="6:22" ht="58.5" customHeight="1" x14ac:dyDescent="0.3">
      <c r="F814" s="373"/>
      <c r="G814" s="373"/>
      <c r="H814" s="373"/>
      <c r="I814" s="373"/>
      <c r="J814" s="373"/>
      <c r="K814" s="374"/>
      <c r="L814" s="373"/>
      <c r="M814" s="373"/>
      <c r="N814" s="373"/>
      <c r="O814" s="373"/>
      <c r="P814" s="373"/>
      <c r="Q814" s="373"/>
      <c r="R814" s="373"/>
      <c r="S814" s="373"/>
      <c r="T814" s="373"/>
      <c r="U814" s="373"/>
      <c r="V814" s="373"/>
    </row>
    <row r="815" spans="6:22" ht="58.5" customHeight="1" x14ac:dyDescent="0.3">
      <c r="F815" s="373"/>
      <c r="G815" s="373"/>
      <c r="H815" s="373"/>
      <c r="I815" s="373"/>
      <c r="J815" s="373"/>
      <c r="K815" s="374"/>
      <c r="L815" s="373"/>
      <c r="M815" s="373"/>
      <c r="N815" s="373"/>
      <c r="O815" s="373"/>
      <c r="P815" s="373"/>
      <c r="Q815" s="373"/>
      <c r="R815" s="373"/>
      <c r="S815" s="373"/>
      <c r="T815" s="373"/>
      <c r="U815" s="373"/>
      <c r="V815" s="373"/>
    </row>
    <row r="816" spans="6:22" ht="58.5" customHeight="1" x14ac:dyDescent="0.3">
      <c r="F816" s="373"/>
      <c r="G816" s="373"/>
      <c r="H816" s="373"/>
      <c r="I816" s="373"/>
      <c r="J816" s="373"/>
      <c r="K816" s="374"/>
      <c r="L816" s="373"/>
      <c r="M816" s="373"/>
      <c r="N816" s="373"/>
      <c r="O816" s="373"/>
      <c r="P816" s="373"/>
      <c r="Q816" s="373"/>
      <c r="R816" s="373"/>
      <c r="S816" s="373"/>
      <c r="T816" s="373"/>
      <c r="U816" s="373"/>
      <c r="V816" s="373"/>
    </row>
    <row r="817" spans="6:22" ht="58.5" customHeight="1" x14ac:dyDescent="0.3">
      <c r="F817" s="373"/>
      <c r="G817" s="373"/>
      <c r="H817" s="373"/>
      <c r="I817" s="373"/>
      <c r="J817" s="373"/>
      <c r="K817" s="374"/>
      <c r="L817" s="373"/>
      <c r="M817" s="373"/>
      <c r="N817" s="373"/>
      <c r="O817" s="373"/>
      <c r="P817" s="373"/>
      <c r="Q817" s="373"/>
      <c r="R817" s="373"/>
      <c r="S817" s="373"/>
      <c r="T817" s="373"/>
      <c r="U817" s="373"/>
      <c r="V817" s="373"/>
    </row>
    <row r="818" spans="6:22" ht="58.5" customHeight="1" x14ac:dyDescent="0.3">
      <c r="F818" s="373"/>
      <c r="G818" s="373"/>
      <c r="H818" s="373"/>
      <c r="I818" s="373"/>
      <c r="J818" s="373"/>
      <c r="K818" s="374"/>
      <c r="L818" s="373"/>
      <c r="M818" s="373"/>
      <c r="N818" s="373"/>
      <c r="O818" s="373"/>
      <c r="P818" s="373"/>
      <c r="Q818" s="373"/>
      <c r="R818" s="373"/>
      <c r="S818" s="373"/>
      <c r="T818" s="373"/>
      <c r="U818" s="373"/>
      <c r="V818" s="373"/>
    </row>
    <row r="819" spans="6:22" ht="58.5" customHeight="1" x14ac:dyDescent="0.3">
      <c r="F819" s="373"/>
      <c r="G819" s="373"/>
      <c r="H819" s="373"/>
      <c r="I819" s="373"/>
      <c r="J819" s="373"/>
      <c r="K819" s="374"/>
      <c r="L819" s="373"/>
      <c r="M819" s="373"/>
      <c r="N819" s="373"/>
      <c r="O819" s="373"/>
      <c r="P819" s="373"/>
      <c r="Q819" s="373"/>
      <c r="R819" s="373"/>
      <c r="S819" s="373"/>
      <c r="T819" s="373"/>
      <c r="U819" s="373"/>
      <c r="V819" s="373"/>
    </row>
    <row r="820" spans="6:22" ht="58.5" customHeight="1" x14ac:dyDescent="0.3">
      <c r="F820" s="373"/>
      <c r="G820" s="373"/>
      <c r="H820" s="373"/>
      <c r="I820" s="373"/>
      <c r="J820" s="373"/>
      <c r="K820" s="374"/>
      <c r="L820" s="373"/>
      <c r="M820" s="373"/>
      <c r="N820" s="373"/>
      <c r="O820" s="373"/>
      <c r="P820" s="373"/>
      <c r="Q820" s="373"/>
      <c r="R820" s="373"/>
      <c r="S820" s="373"/>
      <c r="T820" s="373"/>
      <c r="U820" s="373"/>
      <c r="V820" s="373"/>
    </row>
    <row r="821" spans="6:22" ht="58.5" customHeight="1" x14ac:dyDescent="0.3">
      <c r="F821" s="373"/>
      <c r="G821" s="373"/>
      <c r="H821" s="373"/>
      <c r="I821" s="373"/>
      <c r="J821" s="373"/>
      <c r="K821" s="374"/>
      <c r="L821" s="373"/>
      <c r="M821" s="373"/>
      <c r="N821" s="373"/>
      <c r="O821" s="373"/>
      <c r="P821" s="373"/>
      <c r="Q821" s="373"/>
      <c r="R821" s="373"/>
      <c r="S821" s="373"/>
      <c r="T821" s="373"/>
      <c r="U821" s="373"/>
      <c r="V821" s="373"/>
    </row>
    <row r="822" spans="6:22" ht="58.5" customHeight="1" x14ac:dyDescent="0.3">
      <c r="F822" s="373"/>
      <c r="G822" s="373"/>
      <c r="H822" s="373"/>
      <c r="I822" s="373"/>
      <c r="J822" s="373"/>
      <c r="K822" s="374"/>
      <c r="L822" s="373"/>
      <c r="M822" s="373"/>
      <c r="N822" s="373"/>
      <c r="O822" s="373"/>
      <c r="P822" s="373"/>
      <c r="Q822" s="373"/>
      <c r="R822" s="373"/>
      <c r="S822" s="373"/>
      <c r="T822" s="373"/>
      <c r="U822" s="373"/>
      <c r="V822" s="373"/>
    </row>
    <row r="823" spans="6:22" ht="58.5" customHeight="1" x14ac:dyDescent="0.3">
      <c r="F823" s="373"/>
      <c r="G823" s="373"/>
      <c r="H823" s="373"/>
      <c r="I823" s="373"/>
      <c r="J823" s="373"/>
      <c r="K823" s="374"/>
      <c r="L823" s="373"/>
      <c r="M823" s="373"/>
      <c r="N823" s="373"/>
      <c r="O823" s="373"/>
      <c r="P823" s="373"/>
      <c r="Q823" s="373"/>
      <c r="R823" s="373"/>
      <c r="S823" s="373"/>
      <c r="T823" s="373"/>
      <c r="U823" s="373"/>
      <c r="V823" s="373"/>
    </row>
    <row r="824" spans="6:22" ht="58.5" customHeight="1" x14ac:dyDescent="0.3">
      <c r="F824" s="373"/>
      <c r="G824" s="373"/>
      <c r="H824" s="373"/>
      <c r="I824" s="373"/>
      <c r="J824" s="373"/>
      <c r="K824" s="374"/>
      <c r="L824" s="373"/>
      <c r="M824" s="373"/>
      <c r="N824" s="373"/>
      <c r="O824" s="373"/>
      <c r="P824" s="373"/>
      <c r="Q824" s="373"/>
      <c r="R824" s="373"/>
      <c r="S824" s="373"/>
      <c r="T824" s="373"/>
      <c r="U824" s="373"/>
      <c r="V824" s="373"/>
    </row>
    <row r="825" spans="6:22" ht="58.5" customHeight="1" x14ac:dyDescent="0.3">
      <c r="F825" s="373"/>
      <c r="G825" s="373"/>
      <c r="H825" s="373"/>
      <c r="I825" s="373"/>
      <c r="J825" s="373"/>
      <c r="K825" s="374"/>
      <c r="L825" s="373"/>
      <c r="M825" s="373"/>
      <c r="N825" s="373"/>
      <c r="O825" s="373"/>
      <c r="P825" s="373"/>
      <c r="Q825" s="373"/>
      <c r="R825" s="373"/>
      <c r="S825" s="373"/>
      <c r="T825" s="373"/>
      <c r="U825" s="373"/>
      <c r="V825" s="373"/>
    </row>
    <row r="826" spans="6:22" ht="58.5" customHeight="1" x14ac:dyDescent="0.3">
      <c r="F826" s="373"/>
      <c r="G826" s="373"/>
      <c r="H826" s="373"/>
      <c r="I826" s="373"/>
      <c r="J826" s="373"/>
      <c r="K826" s="374"/>
      <c r="L826" s="373"/>
      <c r="M826" s="373"/>
      <c r="N826" s="373"/>
      <c r="O826" s="373"/>
      <c r="P826" s="373"/>
      <c r="Q826" s="373"/>
      <c r="R826" s="373"/>
      <c r="S826" s="373"/>
      <c r="T826" s="373"/>
      <c r="U826" s="373"/>
      <c r="V826" s="373"/>
    </row>
    <row r="827" spans="6:22" ht="58.5" customHeight="1" x14ac:dyDescent="0.3">
      <c r="F827" s="373"/>
      <c r="G827" s="373"/>
      <c r="H827" s="373"/>
      <c r="I827" s="373"/>
      <c r="J827" s="373"/>
      <c r="K827" s="374"/>
      <c r="L827" s="373"/>
      <c r="M827" s="373"/>
      <c r="N827" s="373"/>
      <c r="O827" s="373"/>
      <c r="P827" s="373"/>
      <c r="Q827" s="373"/>
      <c r="R827" s="373"/>
      <c r="S827" s="373"/>
      <c r="T827" s="373"/>
      <c r="U827" s="373"/>
      <c r="V827" s="373"/>
    </row>
    <row r="828" spans="6:22" ht="58.5" customHeight="1" x14ac:dyDescent="0.3">
      <c r="F828" s="373"/>
      <c r="G828" s="373"/>
      <c r="H828" s="373"/>
      <c r="I828" s="373"/>
      <c r="J828" s="373"/>
      <c r="K828" s="374"/>
      <c r="L828" s="373"/>
      <c r="M828" s="373"/>
      <c r="N828" s="373"/>
      <c r="O828" s="373"/>
      <c r="P828" s="373"/>
      <c r="Q828" s="373"/>
      <c r="R828" s="373"/>
      <c r="S828" s="373"/>
      <c r="T828" s="373"/>
      <c r="U828" s="373"/>
      <c r="V828" s="373"/>
    </row>
    <row r="829" spans="6:22" ht="58.5" customHeight="1" x14ac:dyDescent="0.3">
      <c r="F829" s="373"/>
      <c r="G829" s="373"/>
      <c r="H829" s="373"/>
      <c r="I829" s="373"/>
      <c r="J829" s="373"/>
      <c r="K829" s="374"/>
      <c r="L829" s="373"/>
      <c r="M829" s="373"/>
      <c r="N829" s="373"/>
      <c r="O829" s="373"/>
      <c r="P829" s="373"/>
      <c r="Q829" s="373"/>
      <c r="R829" s="373"/>
      <c r="S829" s="373"/>
      <c r="T829" s="373"/>
      <c r="U829" s="373"/>
      <c r="V829" s="373"/>
    </row>
    <row r="830" spans="6:22" ht="58.5" customHeight="1" x14ac:dyDescent="0.3">
      <c r="F830" s="373"/>
      <c r="G830" s="373"/>
      <c r="H830" s="373"/>
      <c r="I830" s="373"/>
      <c r="J830" s="373"/>
      <c r="K830" s="374"/>
      <c r="L830" s="373"/>
      <c r="M830" s="373"/>
      <c r="N830" s="373"/>
      <c r="O830" s="373"/>
      <c r="P830" s="373"/>
      <c r="Q830" s="373"/>
      <c r="R830" s="373"/>
      <c r="S830" s="373"/>
      <c r="T830" s="373"/>
      <c r="U830" s="373"/>
      <c r="V830" s="373"/>
    </row>
    <row r="831" spans="6:22" ht="58.5" customHeight="1" x14ac:dyDescent="0.3">
      <c r="F831" s="373"/>
      <c r="G831" s="373"/>
      <c r="H831" s="373"/>
      <c r="I831" s="373"/>
      <c r="J831" s="373"/>
      <c r="K831" s="374"/>
      <c r="L831" s="373"/>
      <c r="M831" s="373"/>
      <c r="N831" s="373"/>
      <c r="O831" s="373"/>
      <c r="P831" s="373"/>
      <c r="Q831" s="373"/>
      <c r="R831" s="373"/>
      <c r="S831" s="373"/>
      <c r="T831" s="373"/>
      <c r="U831" s="373"/>
      <c r="V831" s="373"/>
    </row>
    <row r="832" spans="6:22" ht="58.5" customHeight="1" x14ac:dyDescent="0.3">
      <c r="F832" s="373"/>
      <c r="G832" s="373"/>
      <c r="H832" s="373"/>
      <c r="I832" s="373"/>
      <c r="J832" s="373"/>
      <c r="K832" s="374"/>
      <c r="L832" s="373"/>
      <c r="M832" s="373"/>
      <c r="N832" s="373"/>
      <c r="O832" s="373"/>
      <c r="P832" s="373"/>
      <c r="Q832" s="373"/>
      <c r="R832" s="373"/>
      <c r="S832" s="373"/>
      <c r="T832" s="373"/>
      <c r="U832" s="373"/>
      <c r="V832" s="373"/>
    </row>
    <row r="833" spans="6:22" ht="58.5" customHeight="1" x14ac:dyDescent="0.3">
      <c r="F833" s="373"/>
      <c r="G833" s="373"/>
      <c r="H833" s="373"/>
      <c r="I833" s="373"/>
      <c r="J833" s="373"/>
      <c r="K833" s="374"/>
      <c r="L833" s="373"/>
      <c r="M833" s="373"/>
      <c r="N833" s="373"/>
      <c r="O833" s="373"/>
      <c r="P833" s="373"/>
      <c r="Q833" s="373"/>
      <c r="R833" s="373"/>
      <c r="S833" s="373"/>
      <c r="T833" s="373"/>
      <c r="U833" s="373"/>
      <c r="V833" s="373"/>
    </row>
    <row r="834" spans="6:22" ht="58.5" customHeight="1" x14ac:dyDescent="0.3">
      <c r="F834" s="373"/>
      <c r="G834" s="373"/>
      <c r="H834" s="373"/>
      <c r="I834" s="373"/>
      <c r="J834" s="373"/>
      <c r="K834" s="374"/>
      <c r="L834" s="373"/>
      <c r="M834" s="373"/>
      <c r="N834" s="373"/>
      <c r="O834" s="373"/>
      <c r="P834" s="373"/>
      <c r="Q834" s="373"/>
      <c r="R834" s="373"/>
      <c r="S834" s="373"/>
      <c r="T834" s="373"/>
      <c r="U834" s="373"/>
      <c r="V834" s="373"/>
    </row>
    <row r="835" spans="6:22" ht="58.5" customHeight="1" x14ac:dyDescent="0.3">
      <c r="F835" s="373"/>
      <c r="G835" s="373"/>
      <c r="H835" s="373"/>
      <c r="I835" s="373"/>
      <c r="J835" s="373"/>
      <c r="K835" s="374"/>
      <c r="L835" s="373"/>
      <c r="M835" s="373"/>
      <c r="N835" s="373"/>
      <c r="O835" s="373"/>
      <c r="P835" s="373"/>
      <c r="Q835" s="373"/>
      <c r="R835" s="373"/>
      <c r="S835" s="373"/>
      <c r="T835" s="373"/>
      <c r="U835" s="373"/>
      <c r="V835" s="373"/>
    </row>
    <row r="836" spans="6:22" ht="58.5" customHeight="1" x14ac:dyDescent="0.3">
      <c r="F836" s="373"/>
      <c r="G836" s="373"/>
      <c r="H836" s="373"/>
      <c r="I836" s="373"/>
      <c r="J836" s="373"/>
      <c r="K836" s="374"/>
      <c r="L836" s="373"/>
      <c r="M836" s="373"/>
      <c r="N836" s="373"/>
      <c r="O836" s="373"/>
      <c r="P836" s="373"/>
      <c r="Q836" s="373"/>
      <c r="R836" s="373"/>
      <c r="S836" s="373"/>
      <c r="T836" s="373"/>
      <c r="U836" s="373"/>
      <c r="V836" s="373"/>
    </row>
    <row r="837" spans="6:22" ht="58.5" customHeight="1" x14ac:dyDescent="0.3">
      <c r="F837" s="373"/>
      <c r="G837" s="373"/>
      <c r="H837" s="373"/>
      <c r="I837" s="373"/>
      <c r="J837" s="373"/>
      <c r="K837" s="374"/>
      <c r="L837" s="373"/>
      <c r="M837" s="373"/>
      <c r="N837" s="373"/>
      <c r="O837" s="373"/>
      <c r="P837" s="373"/>
      <c r="Q837" s="373"/>
      <c r="R837" s="373"/>
      <c r="S837" s="373"/>
      <c r="T837" s="373"/>
      <c r="U837" s="373"/>
      <c r="V837" s="373"/>
    </row>
    <row r="838" spans="6:22" ht="58.5" customHeight="1" x14ac:dyDescent="0.3">
      <c r="F838" s="373"/>
      <c r="G838" s="373"/>
      <c r="H838" s="373"/>
      <c r="I838" s="373"/>
      <c r="J838" s="373"/>
      <c r="K838" s="374"/>
      <c r="L838" s="373"/>
      <c r="M838" s="373"/>
      <c r="N838" s="373"/>
      <c r="O838" s="373"/>
      <c r="P838" s="373"/>
      <c r="Q838" s="373"/>
      <c r="R838" s="373"/>
      <c r="S838" s="373"/>
      <c r="T838" s="373"/>
      <c r="U838" s="373"/>
      <c r="V838" s="373"/>
    </row>
    <row r="839" spans="6:22" ht="58.5" customHeight="1" x14ac:dyDescent="0.3">
      <c r="F839" s="373"/>
      <c r="G839" s="373"/>
      <c r="H839" s="373"/>
      <c r="I839" s="373"/>
      <c r="J839" s="373"/>
      <c r="K839" s="374"/>
      <c r="L839" s="373"/>
      <c r="M839" s="373"/>
      <c r="N839" s="373"/>
      <c r="O839" s="373"/>
      <c r="P839" s="373"/>
      <c r="Q839" s="373"/>
      <c r="R839" s="373"/>
      <c r="S839" s="373"/>
      <c r="T839" s="373"/>
      <c r="U839" s="373"/>
      <c r="V839" s="373"/>
    </row>
    <row r="840" spans="6:22" ht="58.5" customHeight="1" x14ac:dyDescent="0.3">
      <c r="F840" s="373"/>
      <c r="G840" s="373"/>
      <c r="H840" s="373"/>
      <c r="I840" s="373"/>
      <c r="J840" s="373"/>
      <c r="K840" s="374"/>
      <c r="L840" s="373"/>
      <c r="M840" s="373"/>
      <c r="N840" s="373"/>
      <c r="O840" s="373"/>
      <c r="P840" s="373"/>
      <c r="Q840" s="373"/>
      <c r="R840" s="373"/>
      <c r="S840" s="373"/>
      <c r="T840" s="373"/>
      <c r="U840" s="373"/>
      <c r="V840" s="373"/>
    </row>
    <row r="841" spans="6:22" ht="58.5" customHeight="1" x14ac:dyDescent="0.3">
      <c r="F841" s="373"/>
      <c r="G841" s="373"/>
      <c r="H841" s="373"/>
      <c r="I841" s="373"/>
      <c r="J841" s="373"/>
      <c r="K841" s="374"/>
      <c r="L841" s="373"/>
      <c r="M841" s="373"/>
      <c r="N841" s="373"/>
      <c r="O841" s="373"/>
      <c r="P841" s="373"/>
      <c r="Q841" s="373"/>
      <c r="R841" s="373"/>
      <c r="S841" s="373"/>
      <c r="T841" s="373"/>
      <c r="U841" s="373"/>
      <c r="V841" s="373"/>
    </row>
    <row r="842" spans="6:22" ht="58.5" customHeight="1" x14ac:dyDescent="0.3">
      <c r="F842" s="373"/>
      <c r="G842" s="373"/>
      <c r="H842" s="373"/>
      <c r="I842" s="373"/>
      <c r="J842" s="373"/>
      <c r="K842" s="374"/>
      <c r="L842" s="373"/>
      <c r="M842" s="373"/>
      <c r="N842" s="373"/>
      <c r="O842" s="373"/>
      <c r="P842" s="373"/>
      <c r="Q842" s="373"/>
      <c r="R842" s="373"/>
      <c r="S842" s="373"/>
      <c r="T842" s="373"/>
      <c r="U842" s="373"/>
      <c r="V842" s="373"/>
    </row>
    <row r="843" spans="6:22" ht="58.5" customHeight="1" x14ac:dyDescent="0.3">
      <c r="F843" s="373"/>
      <c r="G843" s="373"/>
      <c r="H843" s="373"/>
      <c r="I843" s="373"/>
      <c r="J843" s="373"/>
      <c r="K843" s="374"/>
      <c r="L843" s="373"/>
      <c r="M843" s="373"/>
      <c r="N843" s="373"/>
      <c r="O843" s="373"/>
      <c r="P843" s="373"/>
      <c r="Q843" s="373"/>
      <c r="R843" s="373"/>
      <c r="S843" s="373"/>
      <c r="T843" s="373"/>
      <c r="U843" s="373"/>
      <c r="V843" s="373"/>
    </row>
    <row r="844" spans="6:22" ht="58.5" customHeight="1" x14ac:dyDescent="0.3">
      <c r="F844" s="373"/>
      <c r="G844" s="373"/>
      <c r="H844" s="373"/>
      <c r="I844" s="373"/>
      <c r="J844" s="373"/>
      <c r="K844" s="374"/>
      <c r="L844" s="373"/>
      <c r="M844" s="373"/>
      <c r="N844" s="373"/>
      <c r="O844" s="373"/>
      <c r="P844" s="373"/>
      <c r="Q844" s="373"/>
      <c r="R844" s="373"/>
      <c r="S844" s="373"/>
      <c r="T844" s="373"/>
      <c r="U844" s="373"/>
      <c r="V844" s="373"/>
    </row>
    <row r="845" spans="6:22" ht="58.5" customHeight="1" x14ac:dyDescent="0.3">
      <c r="F845" s="373"/>
      <c r="G845" s="373"/>
      <c r="H845" s="373"/>
      <c r="I845" s="373"/>
      <c r="J845" s="373"/>
      <c r="K845" s="374"/>
      <c r="L845" s="373"/>
      <c r="M845" s="373"/>
      <c r="N845" s="373"/>
      <c r="O845" s="373"/>
      <c r="P845" s="373"/>
      <c r="Q845" s="373"/>
      <c r="R845" s="373"/>
      <c r="S845" s="373"/>
      <c r="T845" s="373"/>
      <c r="U845" s="373"/>
      <c r="V845" s="373"/>
    </row>
    <row r="846" spans="6:22" ht="58.5" customHeight="1" x14ac:dyDescent="0.3">
      <c r="F846" s="373"/>
      <c r="G846" s="373"/>
      <c r="H846" s="373"/>
      <c r="I846" s="373"/>
      <c r="J846" s="373"/>
      <c r="K846" s="374"/>
      <c r="L846" s="373"/>
      <c r="M846" s="373"/>
      <c r="N846" s="373"/>
      <c r="O846" s="373"/>
      <c r="P846" s="373"/>
      <c r="Q846" s="373"/>
      <c r="R846" s="373"/>
      <c r="S846" s="373"/>
      <c r="T846" s="373"/>
      <c r="U846" s="373"/>
      <c r="V846" s="373"/>
    </row>
    <row r="847" spans="6:22" ht="58.5" customHeight="1" x14ac:dyDescent="0.3">
      <c r="F847" s="373"/>
      <c r="G847" s="373"/>
      <c r="H847" s="373"/>
      <c r="I847" s="373"/>
      <c r="J847" s="373"/>
      <c r="K847" s="374"/>
      <c r="L847" s="373"/>
      <c r="M847" s="373"/>
      <c r="N847" s="373"/>
      <c r="O847" s="373"/>
      <c r="P847" s="373"/>
      <c r="Q847" s="373"/>
      <c r="R847" s="373"/>
      <c r="S847" s="373"/>
      <c r="T847" s="373"/>
      <c r="U847" s="373"/>
      <c r="V847" s="373"/>
    </row>
    <row r="848" spans="6:22" ht="58.5" customHeight="1" x14ac:dyDescent="0.3">
      <c r="F848" s="373"/>
      <c r="G848" s="373"/>
      <c r="H848" s="373"/>
      <c r="I848" s="373"/>
      <c r="J848" s="373"/>
      <c r="K848" s="374"/>
      <c r="L848" s="373"/>
      <c r="M848" s="373"/>
      <c r="N848" s="373"/>
      <c r="O848" s="373"/>
      <c r="P848" s="373"/>
      <c r="Q848" s="373"/>
      <c r="R848" s="373"/>
      <c r="S848" s="373"/>
      <c r="T848" s="373"/>
      <c r="U848" s="373"/>
      <c r="V848" s="373"/>
    </row>
    <row r="849" spans="6:22" ht="58.5" customHeight="1" x14ac:dyDescent="0.3">
      <c r="F849" s="373"/>
      <c r="G849" s="373"/>
      <c r="H849" s="373"/>
      <c r="I849" s="373"/>
      <c r="J849" s="373"/>
      <c r="K849" s="374"/>
      <c r="L849" s="373"/>
      <c r="M849" s="373"/>
      <c r="N849" s="373"/>
      <c r="O849" s="373"/>
      <c r="P849" s="373"/>
      <c r="Q849" s="373"/>
      <c r="R849" s="373"/>
      <c r="S849" s="373"/>
      <c r="T849" s="373"/>
      <c r="U849" s="373"/>
      <c r="V849" s="373"/>
    </row>
    <row r="850" spans="6:22" ht="58.5" customHeight="1" x14ac:dyDescent="0.3">
      <c r="F850" s="373"/>
      <c r="G850" s="373"/>
      <c r="H850" s="373"/>
      <c r="I850" s="373"/>
      <c r="J850" s="373"/>
      <c r="K850" s="374"/>
      <c r="L850" s="373"/>
      <c r="M850" s="373"/>
      <c r="N850" s="373"/>
      <c r="O850" s="373"/>
      <c r="P850" s="373"/>
      <c r="Q850" s="373"/>
      <c r="R850" s="373"/>
      <c r="S850" s="373"/>
      <c r="T850" s="373"/>
      <c r="U850" s="373"/>
      <c r="V850" s="373"/>
    </row>
    <row r="851" spans="6:22" ht="58.5" customHeight="1" x14ac:dyDescent="0.3">
      <c r="F851" s="373"/>
      <c r="G851" s="373"/>
      <c r="H851" s="373"/>
      <c r="I851" s="373"/>
      <c r="J851" s="373"/>
      <c r="K851" s="374"/>
      <c r="L851" s="373"/>
      <c r="M851" s="373"/>
      <c r="N851" s="373"/>
      <c r="O851" s="373"/>
      <c r="P851" s="373"/>
      <c r="Q851" s="373"/>
      <c r="R851" s="373"/>
      <c r="S851" s="373"/>
      <c r="T851" s="373"/>
      <c r="U851" s="373"/>
      <c r="V851" s="373"/>
    </row>
    <row r="852" spans="6:22" ht="58.5" customHeight="1" x14ac:dyDescent="0.3">
      <c r="F852" s="373"/>
      <c r="G852" s="373"/>
      <c r="H852" s="373"/>
      <c r="I852" s="373"/>
      <c r="J852" s="373"/>
      <c r="K852" s="374"/>
      <c r="L852" s="373"/>
      <c r="M852" s="373"/>
      <c r="N852" s="373"/>
      <c r="O852" s="373"/>
      <c r="P852" s="373"/>
      <c r="Q852" s="373"/>
      <c r="R852" s="373"/>
      <c r="S852" s="373"/>
      <c r="T852" s="373"/>
      <c r="U852" s="373"/>
      <c r="V852" s="373"/>
    </row>
    <row r="853" spans="6:22" ht="58.5" customHeight="1" x14ac:dyDescent="0.3">
      <c r="F853" s="373"/>
      <c r="G853" s="373"/>
      <c r="H853" s="373"/>
      <c r="I853" s="373"/>
      <c r="J853" s="373"/>
      <c r="K853" s="374"/>
      <c r="L853" s="373"/>
      <c r="M853" s="373"/>
      <c r="N853" s="373"/>
      <c r="O853" s="373"/>
      <c r="P853" s="373"/>
      <c r="Q853" s="373"/>
      <c r="R853" s="373"/>
      <c r="S853" s="373"/>
      <c r="T853" s="373"/>
      <c r="U853" s="373"/>
      <c r="V853" s="373"/>
    </row>
    <row r="854" spans="6:22" ht="58.5" customHeight="1" x14ac:dyDescent="0.3">
      <c r="F854" s="373"/>
      <c r="G854" s="373"/>
      <c r="H854" s="373"/>
      <c r="I854" s="373"/>
      <c r="J854" s="373"/>
      <c r="K854" s="374"/>
      <c r="L854" s="373"/>
      <c r="M854" s="373"/>
      <c r="N854" s="373"/>
      <c r="O854" s="373"/>
      <c r="P854" s="373"/>
      <c r="Q854" s="373"/>
      <c r="R854" s="373"/>
      <c r="S854" s="373"/>
      <c r="T854" s="373"/>
      <c r="U854" s="373"/>
      <c r="V854" s="373"/>
    </row>
    <row r="855" spans="6:22" ht="58.5" customHeight="1" x14ac:dyDescent="0.3">
      <c r="F855" s="373"/>
      <c r="G855" s="373"/>
      <c r="H855" s="373"/>
      <c r="I855" s="373"/>
      <c r="J855" s="373"/>
      <c r="K855" s="374"/>
      <c r="L855" s="373"/>
      <c r="M855" s="373"/>
      <c r="N855" s="373"/>
      <c r="O855" s="373"/>
      <c r="P855" s="373"/>
      <c r="Q855" s="373"/>
      <c r="R855" s="373"/>
      <c r="S855" s="373"/>
      <c r="T855" s="373"/>
      <c r="U855" s="373"/>
      <c r="V855" s="373"/>
    </row>
    <row r="856" spans="6:22" ht="58.5" customHeight="1" x14ac:dyDescent="0.3">
      <c r="F856" s="373"/>
      <c r="G856" s="373"/>
      <c r="H856" s="373"/>
      <c r="I856" s="373"/>
      <c r="J856" s="373"/>
      <c r="K856" s="374"/>
      <c r="L856" s="373"/>
      <c r="M856" s="373"/>
      <c r="N856" s="373"/>
      <c r="O856" s="373"/>
      <c r="P856" s="373"/>
      <c r="Q856" s="373"/>
      <c r="R856" s="373"/>
      <c r="S856" s="373"/>
      <c r="T856" s="373"/>
      <c r="U856" s="373"/>
      <c r="V856" s="373"/>
    </row>
    <row r="857" spans="6:22" ht="58.5" customHeight="1" x14ac:dyDescent="0.3">
      <c r="F857" s="373"/>
      <c r="G857" s="373"/>
      <c r="H857" s="373"/>
      <c r="I857" s="373"/>
      <c r="J857" s="373"/>
      <c r="K857" s="374"/>
      <c r="L857" s="373"/>
      <c r="M857" s="373"/>
      <c r="N857" s="373"/>
      <c r="O857" s="373"/>
      <c r="P857" s="373"/>
      <c r="Q857" s="373"/>
      <c r="R857" s="373"/>
      <c r="S857" s="373"/>
      <c r="T857" s="373"/>
      <c r="U857" s="373"/>
      <c r="V857" s="373"/>
    </row>
    <row r="858" spans="6:22" ht="58.5" customHeight="1" x14ac:dyDescent="0.3">
      <c r="F858" s="373"/>
      <c r="G858" s="373"/>
      <c r="H858" s="373"/>
      <c r="I858" s="373"/>
      <c r="J858" s="373"/>
      <c r="K858" s="374"/>
      <c r="L858" s="373"/>
      <c r="M858" s="373"/>
      <c r="N858" s="373"/>
      <c r="O858" s="373"/>
      <c r="P858" s="373"/>
      <c r="Q858" s="373"/>
      <c r="R858" s="373"/>
      <c r="S858" s="373"/>
      <c r="T858" s="373"/>
      <c r="U858" s="373"/>
      <c r="V858" s="373"/>
    </row>
    <row r="859" spans="6:22" ht="58.5" customHeight="1" x14ac:dyDescent="0.3">
      <c r="F859" s="373"/>
      <c r="G859" s="373"/>
      <c r="H859" s="373"/>
      <c r="I859" s="373"/>
      <c r="J859" s="373"/>
      <c r="K859" s="374"/>
      <c r="L859" s="373"/>
      <c r="M859" s="373"/>
      <c r="N859" s="373"/>
      <c r="O859" s="373"/>
      <c r="P859" s="373"/>
      <c r="Q859" s="373"/>
      <c r="R859" s="373"/>
      <c r="S859" s="373"/>
      <c r="T859" s="373"/>
      <c r="U859" s="373"/>
      <c r="V859" s="373"/>
    </row>
    <row r="860" spans="6:22" ht="58.5" customHeight="1" x14ac:dyDescent="0.3">
      <c r="F860" s="373"/>
      <c r="G860" s="373"/>
      <c r="H860" s="373"/>
      <c r="I860" s="373"/>
      <c r="J860" s="373"/>
      <c r="K860" s="374"/>
      <c r="L860" s="373"/>
      <c r="M860" s="373"/>
      <c r="N860" s="373"/>
      <c r="O860" s="373"/>
      <c r="P860" s="373"/>
      <c r="Q860" s="373"/>
      <c r="R860" s="373"/>
      <c r="S860" s="373"/>
      <c r="T860" s="373"/>
      <c r="U860" s="373"/>
      <c r="V860" s="373"/>
    </row>
    <row r="861" spans="6:22" ht="58.5" customHeight="1" x14ac:dyDescent="0.3">
      <c r="F861" s="373"/>
      <c r="G861" s="373"/>
      <c r="H861" s="373"/>
      <c r="I861" s="373"/>
      <c r="J861" s="373"/>
      <c r="K861" s="374"/>
      <c r="L861" s="373"/>
      <c r="M861" s="373"/>
      <c r="N861" s="373"/>
      <c r="O861" s="373"/>
      <c r="P861" s="373"/>
      <c r="Q861" s="373"/>
      <c r="R861" s="373"/>
      <c r="S861" s="373"/>
      <c r="T861" s="373"/>
      <c r="U861" s="373"/>
      <c r="V861" s="373"/>
    </row>
    <row r="862" spans="6:22" ht="58.5" customHeight="1" x14ac:dyDescent="0.3">
      <c r="F862" s="373"/>
      <c r="G862" s="373"/>
      <c r="H862" s="373"/>
      <c r="I862" s="373"/>
      <c r="J862" s="373"/>
      <c r="K862" s="374"/>
      <c r="L862" s="373"/>
      <c r="M862" s="373"/>
      <c r="N862" s="373"/>
      <c r="O862" s="373"/>
      <c r="P862" s="373"/>
      <c r="Q862" s="373"/>
      <c r="R862" s="373"/>
      <c r="S862" s="373"/>
      <c r="T862" s="373"/>
      <c r="U862" s="373"/>
      <c r="V862" s="373"/>
    </row>
    <row r="863" spans="6:22" ht="58.5" customHeight="1" x14ac:dyDescent="0.3">
      <c r="F863" s="373"/>
      <c r="G863" s="373"/>
      <c r="H863" s="373"/>
      <c r="I863" s="373"/>
      <c r="J863" s="373"/>
      <c r="K863" s="374"/>
      <c r="L863" s="373"/>
      <c r="M863" s="373"/>
      <c r="N863" s="373"/>
      <c r="O863" s="373"/>
      <c r="P863" s="373"/>
      <c r="Q863" s="373"/>
      <c r="R863" s="373"/>
      <c r="S863" s="373"/>
      <c r="T863" s="373"/>
      <c r="U863" s="373"/>
      <c r="V863" s="373"/>
    </row>
    <row r="864" spans="6:22" ht="58.5" customHeight="1" x14ac:dyDescent="0.3">
      <c r="F864" s="373"/>
      <c r="G864" s="373"/>
      <c r="H864" s="373"/>
      <c r="I864" s="373"/>
      <c r="J864" s="373"/>
      <c r="K864" s="374"/>
      <c r="L864" s="373"/>
      <c r="M864" s="373"/>
      <c r="N864" s="373"/>
      <c r="O864" s="373"/>
      <c r="P864" s="373"/>
      <c r="Q864" s="373"/>
      <c r="R864" s="373"/>
      <c r="S864" s="373"/>
      <c r="T864" s="373"/>
      <c r="U864" s="373"/>
      <c r="V864" s="373"/>
    </row>
    <row r="865" spans="6:22" ht="58.5" customHeight="1" x14ac:dyDescent="0.3">
      <c r="F865" s="373"/>
      <c r="G865" s="373"/>
      <c r="H865" s="373"/>
      <c r="I865" s="373"/>
      <c r="J865" s="373"/>
      <c r="K865" s="374"/>
      <c r="L865" s="373"/>
      <c r="M865" s="373"/>
      <c r="N865" s="373"/>
      <c r="O865" s="373"/>
      <c r="P865" s="373"/>
      <c r="Q865" s="373"/>
      <c r="R865" s="373"/>
      <c r="S865" s="373"/>
      <c r="T865" s="373"/>
      <c r="U865" s="373"/>
      <c r="V865" s="373"/>
    </row>
    <row r="866" spans="6:22" ht="58.5" customHeight="1" x14ac:dyDescent="0.3">
      <c r="F866" s="373"/>
      <c r="G866" s="373"/>
      <c r="H866" s="373"/>
      <c r="I866" s="373"/>
      <c r="J866" s="373"/>
      <c r="K866" s="374"/>
      <c r="L866" s="373"/>
      <c r="M866" s="373"/>
      <c r="N866" s="373"/>
      <c r="O866" s="373"/>
      <c r="P866" s="373"/>
      <c r="Q866" s="373"/>
      <c r="R866" s="373"/>
      <c r="S866" s="373"/>
      <c r="T866" s="373"/>
      <c r="U866" s="373"/>
      <c r="V866" s="373"/>
    </row>
    <row r="867" spans="6:22" ht="58.5" customHeight="1" x14ac:dyDescent="0.3">
      <c r="F867" s="373"/>
      <c r="G867" s="373"/>
      <c r="H867" s="373"/>
      <c r="I867" s="373"/>
      <c r="J867" s="373"/>
      <c r="K867" s="374"/>
      <c r="L867" s="373"/>
      <c r="M867" s="373"/>
      <c r="N867" s="373"/>
      <c r="O867" s="373"/>
      <c r="P867" s="373"/>
      <c r="Q867" s="373"/>
      <c r="R867" s="373"/>
      <c r="S867" s="373"/>
      <c r="T867" s="373"/>
      <c r="U867" s="373"/>
      <c r="V867" s="373"/>
    </row>
    <row r="868" spans="6:22" ht="58.5" customHeight="1" x14ac:dyDescent="0.3">
      <c r="F868" s="373"/>
      <c r="G868" s="373"/>
      <c r="H868" s="373"/>
      <c r="I868" s="373"/>
      <c r="J868" s="373"/>
      <c r="K868" s="374"/>
      <c r="L868" s="373"/>
      <c r="M868" s="373"/>
      <c r="N868" s="373"/>
      <c r="O868" s="373"/>
      <c r="P868" s="373"/>
      <c r="Q868" s="373"/>
      <c r="R868" s="373"/>
      <c r="S868" s="373"/>
      <c r="T868" s="373"/>
      <c r="U868" s="373"/>
      <c r="V868" s="373"/>
    </row>
    <row r="869" spans="6:22" ht="58.5" customHeight="1" x14ac:dyDescent="0.3">
      <c r="F869" s="373"/>
      <c r="G869" s="373"/>
      <c r="H869" s="373"/>
      <c r="I869" s="373"/>
      <c r="J869" s="373"/>
      <c r="K869" s="374"/>
      <c r="L869" s="373"/>
      <c r="M869" s="373"/>
      <c r="N869" s="373"/>
      <c r="O869" s="373"/>
      <c r="P869" s="373"/>
      <c r="Q869" s="373"/>
      <c r="R869" s="373"/>
      <c r="S869" s="373"/>
      <c r="T869" s="373"/>
      <c r="U869" s="373"/>
      <c r="V869" s="373"/>
    </row>
    <row r="870" spans="6:22" ht="58.5" customHeight="1" x14ac:dyDescent="0.3">
      <c r="F870" s="373"/>
      <c r="G870" s="373"/>
      <c r="H870" s="373"/>
      <c r="I870" s="373"/>
      <c r="J870" s="373"/>
      <c r="K870" s="374"/>
      <c r="L870" s="373"/>
      <c r="M870" s="373"/>
      <c r="N870" s="373"/>
      <c r="O870" s="373"/>
      <c r="P870" s="373"/>
      <c r="Q870" s="373"/>
      <c r="R870" s="373"/>
      <c r="S870" s="373"/>
      <c r="T870" s="373"/>
      <c r="U870" s="373"/>
      <c r="V870" s="373"/>
    </row>
    <row r="871" spans="6:22" ht="58.5" customHeight="1" x14ac:dyDescent="0.3">
      <c r="F871" s="373"/>
      <c r="G871" s="373"/>
      <c r="H871" s="373"/>
      <c r="I871" s="373"/>
      <c r="J871" s="373"/>
      <c r="K871" s="374"/>
      <c r="L871" s="373"/>
      <c r="M871" s="373"/>
      <c r="N871" s="373"/>
      <c r="O871" s="373"/>
      <c r="P871" s="373"/>
      <c r="Q871" s="373"/>
      <c r="R871" s="373"/>
      <c r="S871" s="373"/>
      <c r="T871" s="373"/>
      <c r="U871" s="373"/>
      <c r="V871" s="373"/>
    </row>
    <row r="872" spans="6:22" ht="58.5" customHeight="1" x14ac:dyDescent="0.3">
      <c r="F872" s="373"/>
      <c r="G872" s="373"/>
      <c r="H872" s="373"/>
      <c r="I872" s="373"/>
      <c r="J872" s="373"/>
      <c r="K872" s="374"/>
      <c r="L872" s="373"/>
      <c r="M872" s="373"/>
      <c r="N872" s="373"/>
      <c r="O872" s="373"/>
      <c r="P872" s="373"/>
      <c r="Q872" s="373"/>
      <c r="R872" s="373"/>
      <c r="S872" s="373"/>
      <c r="T872" s="373"/>
      <c r="U872" s="373"/>
      <c r="V872" s="373"/>
    </row>
    <row r="873" spans="6:22" ht="58.5" customHeight="1" x14ac:dyDescent="0.3">
      <c r="F873" s="373"/>
      <c r="G873" s="373"/>
      <c r="H873" s="373"/>
      <c r="I873" s="373"/>
      <c r="J873" s="373"/>
      <c r="K873" s="374"/>
      <c r="L873" s="373"/>
      <c r="M873" s="373"/>
      <c r="N873" s="373"/>
      <c r="O873" s="373"/>
      <c r="P873" s="373"/>
      <c r="Q873" s="373"/>
      <c r="R873" s="373"/>
      <c r="S873" s="373"/>
      <c r="T873" s="373"/>
      <c r="U873" s="373"/>
      <c r="V873" s="373"/>
    </row>
    <row r="874" spans="6:22" ht="58.5" customHeight="1" x14ac:dyDescent="0.3">
      <c r="F874" s="373"/>
      <c r="G874" s="373"/>
      <c r="H874" s="373"/>
      <c r="I874" s="373"/>
      <c r="J874" s="373"/>
      <c r="K874" s="374"/>
      <c r="L874" s="373"/>
      <c r="M874" s="373"/>
      <c r="N874" s="373"/>
      <c r="O874" s="373"/>
      <c r="P874" s="373"/>
      <c r="Q874" s="373"/>
      <c r="R874" s="373"/>
      <c r="S874" s="373"/>
      <c r="T874" s="373"/>
      <c r="U874" s="373"/>
      <c r="V874" s="373"/>
    </row>
    <row r="875" spans="6:22" ht="58.5" customHeight="1" x14ac:dyDescent="0.3">
      <c r="F875" s="373"/>
      <c r="G875" s="373"/>
      <c r="H875" s="373"/>
      <c r="I875" s="373"/>
      <c r="J875" s="373"/>
      <c r="K875" s="374"/>
      <c r="L875" s="373"/>
      <c r="M875" s="373"/>
      <c r="N875" s="373"/>
      <c r="O875" s="373"/>
      <c r="P875" s="373"/>
      <c r="Q875" s="373"/>
      <c r="R875" s="373"/>
      <c r="S875" s="373"/>
      <c r="T875" s="373"/>
      <c r="U875" s="373"/>
      <c r="V875" s="373"/>
    </row>
    <row r="876" spans="6:22" ht="58.5" customHeight="1" x14ac:dyDescent="0.3">
      <c r="F876" s="373"/>
      <c r="G876" s="373"/>
      <c r="H876" s="373"/>
      <c r="I876" s="373"/>
      <c r="J876" s="373"/>
      <c r="K876" s="374"/>
      <c r="L876" s="373"/>
      <c r="M876" s="373"/>
      <c r="N876" s="373"/>
      <c r="O876" s="373"/>
      <c r="P876" s="373"/>
      <c r="Q876" s="373"/>
      <c r="R876" s="373"/>
      <c r="S876" s="373"/>
      <c r="T876" s="373"/>
      <c r="U876" s="373"/>
      <c r="V876" s="373"/>
    </row>
    <row r="877" spans="6:22" ht="58.5" customHeight="1" x14ac:dyDescent="0.3">
      <c r="F877" s="373"/>
      <c r="G877" s="373"/>
      <c r="H877" s="373"/>
      <c r="I877" s="373"/>
      <c r="J877" s="373"/>
      <c r="K877" s="374"/>
      <c r="L877" s="373"/>
      <c r="M877" s="373"/>
      <c r="N877" s="373"/>
      <c r="O877" s="373"/>
      <c r="P877" s="373"/>
      <c r="Q877" s="373"/>
      <c r="R877" s="373"/>
      <c r="S877" s="373"/>
      <c r="T877" s="373"/>
      <c r="U877" s="373"/>
      <c r="V877" s="373"/>
    </row>
    <row r="878" spans="6:22" ht="58.5" customHeight="1" x14ac:dyDescent="0.3">
      <c r="F878" s="373"/>
      <c r="G878" s="373"/>
      <c r="H878" s="373"/>
      <c r="I878" s="373"/>
      <c r="J878" s="373"/>
      <c r="K878" s="374"/>
      <c r="L878" s="373"/>
      <c r="M878" s="373"/>
      <c r="N878" s="373"/>
      <c r="O878" s="373"/>
      <c r="P878" s="373"/>
      <c r="Q878" s="373"/>
      <c r="R878" s="373"/>
      <c r="S878" s="373"/>
      <c r="T878" s="373"/>
      <c r="U878" s="373"/>
      <c r="V878" s="373"/>
    </row>
    <row r="879" spans="6:22" ht="58.5" customHeight="1" x14ac:dyDescent="0.3">
      <c r="F879" s="373"/>
      <c r="G879" s="373"/>
      <c r="H879" s="373"/>
      <c r="I879" s="373"/>
      <c r="J879" s="373"/>
      <c r="K879" s="374"/>
      <c r="L879" s="373"/>
      <c r="M879" s="373"/>
      <c r="N879" s="373"/>
      <c r="O879" s="373"/>
      <c r="P879" s="373"/>
      <c r="Q879" s="373"/>
      <c r="R879" s="373"/>
      <c r="S879" s="373"/>
      <c r="T879" s="373"/>
      <c r="U879" s="373"/>
      <c r="V879" s="373"/>
    </row>
    <row r="880" spans="6:22" ht="58.5" customHeight="1" x14ac:dyDescent="0.3">
      <c r="F880" s="373"/>
      <c r="G880" s="373"/>
      <c r="H880" s="373"/>
      <c r="I880" s="373"/>
      <c r="J880" s="373"/>
      <c r="K880" s="374"/>
      <c r="L880" s="373"/>
      <c r="M880" s="373"/>
      <c r="N880" s="373"/>
      <c r="O880" s="373"/>
      <c r="P880" s="373"/>
      <c r="Q880" s="373"/>
      <c r="R880" s="373"/>
      <c r="S880" s="373"/>
      <c r="T880" s="373"/>
      <c r="U880" s="373"/>
      <c r="V880" s="373"/>
    </row>
    <row r="881" spans="6:22" ht="58.5" customHeight="1" x14ac:dyDescent="0.3">
      <c r="F881" s="373"/>
      <c r="G881" s="373"/>
      <c r="H881" s="373"/>
      <c r="I881" s="373"/>
      <c r="J881" s="373"/>
      <c r="K881" s="374"/>
      <c r="L881" s="373"/>
      <c r="M881" s="373"/>
      <c r="N881" s="373"/>
      <c r="O881" s="373"/>
      <c r="P881" s="373"/>
      <c r="Q881" s="373"/>
      <c r="R881" s="373"/>
      <c r="S881" s="373"/>
      <c r="T881" s="373"/>
      <c r="U881" s="373"/>
      <c r="V881" s="373"/>
    </row>
    <row r="882" spans="6:22" ht="58.5" customHeight="1" x14ac:dyDescent="0.3">
      <c r="F882" s="373"/>
      <c r="G882" s="373"/>
      <c r="H882" s="373"/>
      <c r="I882" s="373"/>
      <c r="J882" s="373"/>
      <c r="K882" s="374"/>
      <c r="L882" s="373"/>
      <c r="M882" s="373"/>
      <c r="N882" s="373"/>
      <c r="O882" s="373"/>
      <c r="P882" s="373"/>
      <c r="Q882" s="373"/>
      <c r="R882" s="373"/>
      <c r="S882" s="373"/>
      <c r="T882" s="373"/>
      <c r="U882" s="373"/>
      <c r="V882" s="373"/>
    </row>
    <row r="883" spans="6:22" ht="58.5" customHeight="1" x14ac:dyDescent="0.3">
      <c r="F883" s="373"/>
      <c r="G883" s="373"/>
      <c r="H883" s="373"/>
      <c r="I883" s="373"/>
      <c r="J883" s="373"/>
      <c r="K883" s="374"/>
      <c r="L883" s="373"/>
      <c r="M883" s="373"/>
      <c r="N883" s="373"/>
      <c r="O883" s="373"/>
      <c r="P883" s="373"/>
      <c r="Q883" s="373"/>
      <c r="R883" s="373"/>
      <c r="S883" s="373"/>
      <c r="T883" s="373"/>
      <c r="U883" s="373"/>
      <c r="V883" s="373"/>
    </row>
    <row r="884" spans="6:22" ht="58.5" customHeight="1" x14ac:dyDescent="0.3">
      <c r="F884" s="373"/>
      <c r="G884" s="373"/>
      <c r="H884" s="373"/>
      <c r="I884" s="373"/>
      <c r="J884" s="373"/>
      <c r="K884" s="374"/>
      <c r="L884" s="373"/>
      <c r="M884" s="373"/>
      <c r="N884" s="373"/>
      <c r="O884" s="373"/>
      <c r="P884" s="373"/>
      <c r="Q884" s="373"/>
      <c r="R884" s="373"/>
      <c r="S884" s="373"/>
      <c r="T884" s="373"/>
      <c r="U884" s="373"/>
      <c r="V884" s="373"/>
    </row>
    <row r="885" spans="6:22" ht="58.5" customHeight="1" x14ac:dyDescent="0.3">
      <c r="F885" s="373"/>
      <c r="G885" s="373"/>
      <c r="H885" s="373"/>
      <c r="I885" s="373"/>
      <c r="J885" s="373"/>
      <c r="K885" s="374"/>
      <c r="L885" s="373"/>
      <c r="M885" s="373"/>
      <c r="N885" s="373"/>
      <c r="O885" s="373"/>
      <c r="P885" s="373"/>
      <c r="Q885" s="373"/>
      <c r="R885" s="373"/>
      <c r="S885" s="373"/>
      <c r="T885" s="373"/>
      <c r="U885" s="373"/>
      <c r="V885" s="373"/>
    </row>
    <row r="886" spans="6:22" ht="58.5" customHeight="1" x14ac:dyDescent="0.3">
      <c r="F886" s="373"/>
      <c r="G886" s="373"/>
      <c r="H886" s="373"/>
      <c r="I886" s="373"/>
      <c r="J886" s="373"/>
      <c r="K886" s="374"/>
      <c r="L886" s="373"/>
      <c r="M886" s="373"/>
      <c r="N886" s="373"/>
      <c r="O886" s="373"/>
      <c r="P886" s="373"/>
      <c r="Q886" s="373"/>
      <c r="R886" s="373"/>
      <c r="S886" s="373"/>
      <c r="T886" s="373"/>
      <c r="U886" s="373"/>
      <c r="V886" s="373"/>
    </row>
    <row r="887" spans="6:22" ht="58.5" customHeight="1" x14ac:dyDescent="0.3">
      <c r="F887" s="373"/>
      <c r="G887" s="373"/>
      <c r="H887" s="373"/>
      <c r="I887" s="373"/>
      <c r="J887" s="373"/>
      <c r="K887" s="374"/>
      <c r="L887" s="373"/>
      <c r="M887" s="373"/>
      <c r="N887" s="373"/>
      <c r="O887" s="373"/>
      <c r="P887" s="373"/>
      <c r="Q887" s="373"/>
      <c r="R887" s="373"/>
      <c r="S887" s="373"/>
      <c r="T887" s="373"/>
      <c r="U887" s="373"/>
      <c r="V887" s="373"/>
    </row>
    <row r="888" spans="6:22" ht="58.5" customHeight="1" x14ac:dyDescent="0.3">
      <c r="F888" s="373"/>
      <c r="G888" s="373"/>
      <c r="H888" s="373"/>
      <c r="I888" s="373"/>
      <c r="J888" s="373"/>
      <c r="K888" s="374"/>
      <c r="L888" s="373"/>
      <c r="M888" s="373"/>
      <c r="N888" s="373"/>
      <c r="O888" s="373"/>
      <c r="P888" s="373"/>
      <c r="Q888" s="373"/>
      <c r="R888" s="373"/>
      <c r="S888" s="373"/>
      <c r="T888" s="373"/>
      <c r="U888" s="373"/>
      <c r="V888" s="373"/>
    </row>
    <row r="889" spans="6:22" ht="58.5" customHeight="1" x14ac:dyDescent="0.3">
      <c r="F889" s="373"/>
      <c r="G889" s="373"/>
      <c r="H889" s="373"/>
      <c r="I889" s="373"/>
      <c r="J889" s="373"/>
      <c r="K889" s="374"/>
      <c r="L889" s="373"/>
      <c r="M889" s="373"/>
      <c r="N889" s="373"/>
      <c r="O889" s="373"/>
      <c r="P889" s="373"/>
      <c r="Q889" s="373"/>
      <c r="R889" s="373"/>
      <c r="S889" s="373"/>
      <c r="T889" s="373"/>
      <c r="U889" s="373"/>
      <c r="V889" s="373"/>
    </row>
    <row r="890" spans="6:22" ht="58.5" customHeight="1" x14ac:dyDescent="0.3">
      <c r="F890" s="373"/>
      <c r="G890" s="373"/>
      <c r="H890" s="373"/>
      <c r="I890" s="373"/>
      <c r="J890" s="373"/>
      <c r="K890" s="374"/>
      <c r="L890" s="373"/>
      <c r="M890" s="373"/>
      <c r="N890" s="373"/>
      <c r="O890" s="373"/>
      <c r="P890" s="373"/>
      <c r="Q890" s="373"/>
      <c r="R890" s="373"/>
      <c r="S890" s="373"/>
      <c r="T890" s="373"/>
      <c r="U890" s="373"/>
      <c r="V890" s="373"/>
    </row>
    <row r="891" spans="6:22" ht="58.5" customHeight="1" x14ac:dyDescent="0.3">
      <c r="F891" s="373"/>
      <c r="G891" s="373"/>
      <c r="H891" s="373"/>
      <c r="I891" s="373"/>
      <c r="J891" s="373"/>
      <c r="K891" s="374"/>
      <c r="L891" s="373"/>
      <c r="M891" s="373"/>
      <c r="N891" s="373"/>
      <c r="O891" s="373"/>
      <c r="P891" s="373"/>
      <c r="Q891" s="373"/>
      <c r="R891" s="373"/>
      <c r="S891" s="373"/>
      <c r="T891" s="373"/>
      <c r="U891" s="373"/>
      <c r="V891" s="373"/>
    </row>
    <row r="892" spans="6:22" ht="58.5" customHeight="1" x14ac:dyDescent="0.3">
      <c r="F892" s="373"/>
      <c r="G892" s="373"/>
      <c r="H892" s="373"/>
      <c r="I892" s="373"/>
      <c r="J892" s="373"/>
      <c r="K892" s="374"/>
      <c r="L892" s="373"/>
      <c r="M892" s="373"/>
      <c r="N892" s="373"/>
      <c r="O892" s="373"/>
      <c r="P892" s="373"/>
      <c r="Q892" s="373"/>
      <c r="R892" s="373"/>
      <c r="S892" s="373"/>
      <c r="T892" s="373"/>
      <c r="U892" s="373"/>
      <c r="V892" s="373"/>
    </row>
    <row r="893" spans="6:22" ht="58.5" customHeight="1" x14ac:dyDescent="0.3">
      <c r="F893" s="373"/>
      <c r="G893" s="373"/>
      <c r="H893" s="373"/>
      <c r="I893" s="373"/>
      <c r="J893" s="373"/>
      <c r="K893" s="374"/>
      <c r="L893" s="373"/>
      <c r="M893" s="373"/>
      <c r="N893" s="373"/>
      <c r="O893" s="373"/>
      <c r="P893" s="373"/>
      <c r="Q893" s="373"/>
      <c r="R893" s="373"/>
      <c r="S893" s="373"/>
      <c r="T893" s="373"/>
      <c r="U893" s="373"/>
      <c r="V893" s="373"/>
    </row>
    <row r="894" spans="6:22" ht="58.5" customHeight="1" x14ac:dyDescent="0.3">
      <c r="F894" s="373"/>
      <c r="G894" s="373"/>
      <c r="H894" s="373"/>
      <c r="I894" s="373"/>
      <c r="J894" s="373"/>
      <c r="K894" s="374"/>
      <c r="L894" s="373"/>
      <c r="M894" s="373"/>
      <c r="N894" s="373"/>
      <c r="O894" s="373"/>
      <c r="P894" s="373"/>
      <c r="Q894" s="373"/>
      <c r="R894" s="373"/>
      <c r="S894" s="373"/>
      <c r="T894" s="373"/>
      <c r="U894" s="373"/>
      <c r="V894" s="373"/>
    </row>
    <row r="895" spans="6:22" ht="58.5" customHeight="1" x14ac:dyDescent="0.3">
      <c r="F895" s="373"/>
      <c r="G895" s="373"/>
      <c r="H895" s="373"/>
      <c r="I895" s="373"/>
      <c r="J895" s="373"/>
      <c r="K895" s="374"/>
      <c r="L895" s="373"/>
      <c r="M895" s="373"/>
      <c r="N895" s="373"/>
      <c r="O895" s="373"/>
      <c r="P895" s="373"/>
      <c r="Q895" s="373"/>
      <c r="R895" s="373"/>
      <c r="S895" s="373"/>
      <c r="T895" s="373"/>
      <c r="U895" s="373"/>
      <c r="V895" s="373"/>
    </row>
    <row r="896" spans="6:22" ht="58.5" customHeight="1" x14ac:dyDescent="0.3">
      <c r="F896" s="373"/>
      <c r="G896" s="373"/>
      <c r="H896" s="373"/>
      <c r="I896" s="373"/>
      <c r="J896" s="373"/>
      <c r="K896" s="374"/>
      <c r="L896" s="373"/>
      <c r="M896" s="373"/>
      <c r="N896" s="373"/>
      <c r="O896" s="373"/>
      <c r="P896" s="373"/>
      <c r="Q896" s="373"/>
      <c r="R896" s="373"/>
      <c r="S896" s="373"/>
      <c r="T896" s="373"/>
      <c r="U896" s="373"/>
      <c r="V896" s="373"/>
    </row>
    <row r="897" spans="6:22" ht="58.5" customHeight="1" x14ac:dyDescent="0.3">
      <c r="F897" s="373"/>
      <c r="G897" s="373"/>
      <c r="H897" s="373"/>
      <c r="I897" s="373"/>
      <c r="J897" s="373"/>
      <c r="K897" s="374"/>
      <c r="L897" s="373"/>
      <c r="M897" s="373"/>
      <c r="N897" s="373"/>
      <c r="O897" s="373"/>
      <c r="P897" s="373"/>
      <c r="Q897" s="373"/>
      <c r="R897" s="373"/>
      <c r="S897" s="373"/>
      <c r="T897" s="373"/>
      <c r="U897" s="373"/>
      <c r="V897" s="373"/>
    </row>
    <row r="898" spans="6:22" ht="58.5" customHeight="1" x14ac:dyDescent="0.3">
      <c r="F898" s="373"/>
      <c r="G898" s="373"/>
      <c r="H898" s="373"/>
      <c r="I898" s="373"/>
      <c r="J898" s="373"/>
      <c r="K898" s="374"/>
      <c r="L898" s="373"/>
      <c r="M898" s="373"/>
      <c r="N898" s="373"/>
      <c r="O898" s="373"/>
      <c r="P898" s="373"/>
      <c r="Q898" s="373"/>
      <c r="R898" s="373"/>
      <c r="S898" s="373"/>
      <c r="T898" s="373"/>
      <c r="U898" s="373"/>
      <c r="V898" s="373"/>
    </row>
    <row r="899" spans="6:22" ht="58.5" customHeight="1" x14ac:dyDescent="0.3">
      <c r="F899" s="373"/>
      <c r="G899" s="373"/>
      <c r="H899" s="373"/>
      <c r="I899" s="373"/>
      <c r="J899" s="373"/>
      <c r="K899" s="374"/>
      <c r="L899" s="373"/>
      <c r="M899" s="373"/>
      <c r="N899" s="373"/>
      <c r="O899" s="373"/>
      <c r="P899" s="373"/>
      <c r="Q899" s="373"/>
      <c r="R899" s="373"/>
      <c r="S899" s="373"/>
      <c r="T899" s="373"/>
      <c r="U899" s="373"/>
      <c r="V899" s="373"/>
    </row>
    <row r="900" spans="6:22" ht="58.5" customHeight="1" x14ac:dyDescent="0.3">
      <c r="F900" s="373"/>
      <c r="G900" s="373"/>
      <c r="H900" s="373"/>
      <c r="I900" s="373"/>
      <c r="J900" s="373"/>
      <c r="K900" s="374"/>
      <c r="L900" s="373"/>
      <c r="M900" s="373"/>
      <c r="N900" s="373"/>
      <c r="O900" s="373"/>
      <c r="P900" s="373"/>
      <c r="Q900" s="373"/>
      <c r="R900" s="373"/>
      <c r="S900" s="373"/>
      <c r="T900" s="373"/>
      <c r="U900" s="373"/>
      <c r="V900" s="373"/>
    </row>
    <row r="901" spans="6:22" ht="58.5" customHeight="1" x14ac:dyDescent="0.3">
      <c r="F901" s="373"/>
      <c r="G901" s="373"/>
      <c r="H901" s="373"/>
      <c r="I901" s="373"/>
      <c r="J901" s="373"/>
      <c r="K901" s="374"/>
      <c r="L901" s="373"/>
      <c r="M901" s="373"/>
      <c r="N901" s="373"/>
      <c r="O901" s="373"/>
      <c r="P901" s="373"/>
      <c r="Q901" s="373"/>
      <c r="R901" s="373"/>
      <c r="S901" s="373"/>
      <c r="T901" s="373"/>
      <c r="U901" s="373"/>
      <c r="V901" s="373"/>
    </row>
    <row r="902" spans="6:22" ht="58.5" customHeight="1" x14ac:dyDescent="0.3">
      <c r="F902" s="373"/>
      <c r="G902" s="373"/>
      <c r="H902" s="373"/>
      <c r="I902" s="373"/>
      <c r="J902" s="373"/>
      <c r="K902" s="374"/>
      <c r="L902" s="373"/>
      <c r="M902" s="373"/>
      <c r="N902" s="373"/>
      <c r="O902" s="373"/>
      <c r="P902" s="373"/>
      <c r="Q902" s="373"/>
      <c r="R902" s="373"/>
      <c r="S902" s="373"/>
      <c r="T902" s="373"/>
      <c r="U902" s="373"/>
      <c r="V902" s="373"/>
    </row>
    <row r="903" spans="6:22" ht="58.5" customHeight="1" x14ac:dyDescent="0.3">
      <c r="F903" s="373"/>
      <c r="G903" s="373"/>
      <c r="H903" s="373"/>
      <c r="I903" s="373"/>
      <c r="J903" s="373"/>
      <c r="K903" s="374"/>
      <c r="L903" s="373"/>
      <c r="M903" s="373"/>
      <c r="N903" s="373"/>
      <c r="O903" s="373"/>
      <c r="P903" s="373"/>
      <c r="Q903" s="373"/>
      <c r="R903" s="373"/>
      <c r="S903" s="373"/>
      <c r="T903" s="373"/>
      <c r="U903" s="373"/>
      <c r="V903" s="373"/>
    </row>
    <row r="904" spans="6:22" ht="58.5" customHeight="1" x14ac:dyDescent="0.3">
      <c r="F904" s="373"/>
      <c r="G904" s="373"/>
      <c r="H904" s="373"/>
      <c r="I904" s="373"/>
      <c r="J904" s="373"/>
      <c r="K904" s="374"/>
      <c r="L904" s="373"/>
      <c r="M904" s="373"/>
      <c r="N904" s="373"/>
      <c r="O904" s="373"/>
      <c r="P904" s="373"/>
      <c r="Q904" s="373"/>
      <c r="R904" s="373"/>
      <c r="S904" s="373"/>
      <c r="T904" s="373"/>
      <c r="U904" s="373"/>
      <c r="V904" s="373"/>
    </row>
    <row r="905" spans="6:22" ht="58.5" customHeight="1" x14ac:dyDescent="0.3">
      <c r="F905" s="373"/>
      <c r="G905" s="373"/>
      <c r="H905" s="373"/>
      <c r="I905" s="373"/>
      <c r="J905" s="373"/>
      <c r="K905" s="374"/>
      <c r="L905" s="373"/>
      <c r="M905" s="373"/>
      <c r="N905" s="373"/>
      <c r="O905" s="373"/>
      <c r="P905" s="373"/>
      <c r="Q905" s="373"/>
      <c r="R905" s="373"/>
      <c r="S905" s="373"/>
      <c r="T905" s="373"/>
      <c r="U905" s="373"/>
      <c r="V905" s="373"/>
    </row>
    <row r="906" spans="6:22" ht="58.5" customHeight="1" x14ac:dyDescent="0.3">
      <c r="F906" s="373"/>
      <c r="G906" s="373"/>
      <c r="H906" s="373"/>
      <c r="I906" s="373"/>
      <c r="J906" s="373"/>
      <c r="K906" s="374"/>
      <c r="L906" s="373"/>
      <c r="M906" s="373"/>
      <c r="N906" s="373"/>
      <c r="O906" s="373"/>
      <c r="P906" s="373"/>
      <c r="Q906" s="373"/>
      <c r="R906" s="373"/>
      <c r="S906" s="373"/>
      <c r="T906" s="373"/>
      <c r="U906" s="373"/>
      <c r="V906" s="373"/>
    </row>
    <row r="907" spans="6:22" ht="58.5" customHeight="1" x14ac:dyDescent="0.3">
      <c r="F907" s="373"/>
      <c r="G907" s="373"/>
      <c r="H907" s="373"/>
      <c r="I907" s="373"/>
      <c r="J907" s="373"/>
      <c r="K907" s="374"/>
      <c r="L907" s="373"/>
      <c r="M907" s="373"/>
      <c r="N907" s="373"/>
      <c r="O907" s="373"/>
      <c r="P907" s="373"/>
      <c r="Q907" s="373"/>
      <c r="R907" s="373"/>
      <c r="S907" s="373"/>
      <c r="T907" s="373"/>
      <c r="U907" s="373"/>
      <c r="V907" s="373"/>
    </row>
    <row r="908" spans="6:22" ht="58.5" customHeight="1" x14ac:dyDescent="0.3">
      <c r="F908" s="373"/>
      <c r="G908" s="373"/>
      <c r="H908" s="373"/>
      <c r="I908" s="373"/>
      <c r="J908" s="373"/>
      <c r="K908" s="374"/>
      <c r="L908" s="373"/>
      <c r="M908" s="373"/>
      <c r="N908" s="373"/>
      <c r="O908" s="373"/>
      <c r="P908" s="373"/>
      <c r="Q908" s="373"/>
      <c r="R908" s="373"/>
      <c r="S908" s="373"/>
      <c r="T908" s="373"/>
      <c r="U908" s="373"/>
      <c r="V908" s="373"/>
    </row>
    <row r="909" spans="6:22" ht="58.5" customHeight="1" x14ac:dyDescent="0.3">
      <c r="F909" s="373"/>
      <c r="G909" s="373"/>
      <c r="H909" s="373"/>
      <c r="I909" s="373"/>
      <c r="J909" s="373"/>
      <c r="K909" s="374"/>
      <c r="L909" s="373"/>
      <c r="M909" s="373"/>
      <c r="N909" s="373"/>
      <c r="O909" s="373"/>
      <c r="P909" s="373"/>
      <c r="Q909" s="373"/>
      <c r="R909" s="373"/>
      <c r="S909" s="373"/>
      <c r="T909" s="373"/>
      <c r="U909" s="373"/>
      <c r="V909" s="373"/>
    </row>
    <row r="910" spans="6:22" ht="58.5" customHeight="1" x14ac:dyDescent="0.3">
      <c r="F910" s="373"/>
      <c r="G910" s="373"/>
      <c r="H910" s="373"/>
      <c r="I910" s="373"/>
      <c r="J910" s="373"/>
      <c r="K910" s="374"/>
      <c r="L910" s="373"/>
      <c r="M910" s="373"/>
      <c r="N910" s="373"/>
      <c r="O910" s="373"/>
      <c r="P910" s="373"/>
      <c r="Q910" s="373"/>
      <c r="R910" s="373"/>
      <c r="S910" s="373"/>
      <c r="T910" s="373"/>
      <c r="U910" s="373"/>
      <c r="V910" s="373"/>
    </row>
    <row r="911" spans="6:22" ht="58.5" customHeight="1" x14ac:dyDescent="0.3">
      <c r="F911" s="373"/>
      <c r="G911" s="373"/>
      <c r="H911" s="373"/>
      <c r="I911" s="373"/>
      <c r="J911" s="373"/>
      <c r="K911" s="374"/>
      <c r="L911" s="373"/>
      <c r="M911" s="373"/>
      <c r="N911" s="373"/>
      <c r="O911" s="373"/>
      <c r="P911" s="373"/>
      <c r="Q911" s="373"/>
      <c r="R911" s="373"/>
      <c r="S911" s="373"/>
      <c r="T911" s="373"/>
      <c r="U911" s="373"/>
      <c r="V911" s="373"/>
    </row>
    <row r="912" spans="6:22" ht="58.5" customHeight="1" x14ac:dyDescent="0.3">
      <c r="F912" s="373"/>
      <c r="G912" s="373"/>
      <c r="H912" s="373"/>
      <c r="I912" s="373"/>
      <c r="J912" s="373"/>
      <c r="K912" s="374"/>
      <c r="L912" s="373"/>
      <c r="M912" s="373"/>
      <c r="N912" s="373"/>
      <c r="O912" s="373"/>
      <c r="P912" s="373"/>
      <c r="Q912" s="373"/>
      <c r="R912" s="373"/>
      <c r="S912" s="373"/>
      <c r="T912" s="373"/>
      <c r="U912" s="373"/>
      <c r="V912" s="373"/>
    </row>
    <row r="913" spans="6:22" ht="58.5" customHeight="1" x14ac:dyDescent="0.3">
      <c r="F913" s="373"/>
      <c r="G913" s="373"/>
      <c r="H913" s="373"/>
      <c r="I913" s="373"/>
      <c r="J913" s="373"/>
      <c r="K913" s="374"/>
      <c r="L913" s="373"/>
      <c r="M913" s="373"/>
      <c r="N913" s="373"/>
      <c r="O913" s="373"/>
      <c r="P913" s="373"/>
      <c r="Q913" s="373"/>
      <c r="R913" s="373"/>
      <c r="S913" s="373"/>
      <c r="T913" s="373"/>
      <c r="U913" s="373"/>
      <c r="V913" s="373"/>
    </row>
    <row r="914" spans="6:22" ht="58.5" customHeight="1" x14ac:dyDescent="0.3">
      <c r="F914" s="373"/>
      <c r="G914" s="373"/>
      <c r="H914" s="373"/>
      <c r="I914" s="373"/>
      <c r="J914" s="373"/>
      <c r="K914" s="374"/>
      <c r="L914" s="373"/>
      <c r="M914" s="373"/>
      <c r="N914" s="373"/>
      <c r="O914" s="373"/>
      <c r="P914" s="373"/>
      <c r="Q914" s="373"/>
      <c r="R914" s="373"/>
      <c r="S914" s="373"/>
      <c r="T914" s="373"/>
      <c r="U914" s="373"/>
      <c r="V914" s="373"/>
    </row>
    <row r="915" spans="6:22" ht="58.5" customHeight="1" x14ac:dyDescent="0.3">
      <c r="F915" s="373"/>
      <c r="G915" s="373"/>
      <c r="H915" s="373"/>
      <c r="I915" s="373"/>
      <c r="J915" s="373"/>
      <c r="K915" s="374"/>
      <c r="L915" s="373"/>
      <c r="M915" s="373"/>
      <c r="N915" s="373"/>
      <c r="O915" s="373"/>
      <c r="P915" s="373"/>
      <c r="Q915" s="373"/>
      <c r="R915" s="373"/>
      <c r="S915" s="373"/>
      <c r="T915" s="373"/>
      <c r="U915" s="373"/>
      <c r="V915" s="373"/>
    </row>
    <row r="916" spans="6:22" ht="58.5" customHeight="1" x14ac:dyDescent="0.3">
      <c r="F916" s="373"/>
      <c r="G916" s="373"/>
      <c r="H916" s="373"/>
      <c r="I916" s="373"/>
      <c r="J916" s="373"/>
      <c r="K916" s="374"/>
      <c r="L916" s="373"/>
      <c r="M916" s="373"/>
      <c r="N916" s="373"/>
      <c r="O916" s="373"/>
      <c r="P916" s="373"/>
      <c r="Q916" s="373"/>
      <c r="R916" s="373"/>
      <c r="S916" s="373"/>
      <c r="T916" s="373"/>
      <c r="U916" s="373"/>
      <c r="V916" s="373"/>
    </row>
    <row r="917" spans="6:22" ht="58.5" customHeight="1" x14ac:dyDescent="0.3">
      <c r="F917" s="373"/>
      <c r="G917" s="373"/>
      <c r="H917" s="373"/>
      <c r="I917" s="373"/>
      <c r="J917" s="373"/>
      <c r="K917" s="374"/>
      <c r="L917" s="373"/>
      <c r="M917" s="373"/>
      <c r="N917" s="373"/>
      <c r="O917" s="373"/>
      <c r="P917" s="373"/>
      <c r="Q917" s="373"/>
      <c r="R917" s="373"/>
      <c r="S917" s="373"/>
      <c r="T917" s="373"/>
      <c r="U917" s="373"/>
      <c r="V917" s="373"/>
    </row>
    <row r="918" spans="6:22" ht="58.5" customHeight="1" x14ac:dyDescent="0.3">
      <c r="F918" s="373"/>
      <c r="G918" s="373"/>
      <c r="H918" s="373"/>
      <c r="I918" s="373"/>
      <c r="J918" s="373"/>
      <c r="K918" s="374"/>
      <c r="L918" s="373"/>
      <c r="M918" s="373"/>
      <c r="N918" s="373"/>
      <c r="O918" s="373"/>
      <c r="P918" s="373"/>
      <c r="Q918" s="373"/>
      <c r="R918" s="373"/>
      <c r="S918" s="373"/>
      <c r="T918" s="373"/>
      <c r="U918" s="373"/>
      <c r="V918" s="373"/>
    </row>
    <row r="919" spans="6:22" ht="58.5" customHeight="1" x14ac:dyDescent="0.3">
      <c r="F919" s="373"/>
      <c r="G919" s="373"/>
      <c r="H919" s="373"/>
      <c r="I919" s="373"/>
      <c r="J919" s="373"/>
      <c r="K919" s="374"/>
      <c r="L919" s="373"/>
      <c r="M919" s="373"/>
      <c r="N919" s="373"/>
      <c r="O919" s="373"/>
      <c r="P919" s="373"/>
      <c r="Q919" s="373"/>
      <c r="R919" s="373"/>
      <c r="S919" s="373"/>
      <c r="T919" s="373"/>
      <c r="U919" s="373"/>
      <c r="V919" s="373"/>
    </row>
    <row r="920" spans="6:22" ht="58.5" customHeight="1" x14ac:dyDescent="0.3">
      <c r="F920" s="373"/>
      <c r="G920" s="373"/>
      <c r="H920" s="373"/>
      <c r="I920" s="373"/>
      <c r="J920" s="373"/>
      <c r="K920" s="374"/>
      <c r="L920" s="373"/>
      <c r="M920" s="373"/>
      <c r="N920" s="373"/>
      <c r="O920" s="373"/>
      <c r="P920" s="373"/>
      <c r="Q920" s="373"/>
      <c r="R920" s="373"/>
      <c r="S920" s="373"/>
      <c r="T920" s="373"/>
      <c r="U920" s="373"/>
      <c r="V920" s="373"/>
    </row>
    <row r="921" spans="6:22" ht="58.5" customHeight="1" x14ac:dyDescent="0.3">
      <c r="F921" s="373"/>
      <c r="G921" s="373"/>
      <c r="H921" s="373"/>
      <c r="I921" s="373"/>
      <c r="J921" s="373"/>
      <c r="K921" s="374"/>
      <c r="L921" s="373"/>
      <c r="M921" s="373"/>
      <c r="N921" s="373"/>
      <c r="O921" s="373"/>
      <c r="P921" s="373"/>
      <c r="Q921" s="373"/>
      <c r="R921" s="373"/>
      <c r="S921" s="373"/>
      <c r="T921" s="373"/>
      <c r="U921" s="373"/>
      <c r="V921" s="373"/>
    </row>
    <row r="922" spans="6:22" ht="58.5" customHeight="1" x14ac:dyDescent="0.3">
      <c r="F922" s="373"/>
      <c r="G922" s="373"/>
      <c r="H922" s="373"/>
      <c r="I922" s="373"/>
      <c r="J922" s="373"/>
      <c r="K922" s="374"/>
      <c r="L922" s="373"/>
      <c r="M922" s="373"/>
      <c r="N922" s="373"/>
      <c r="O922" s="373"/>
      <c r="P922" s="373"/>
      <c r="Q922" s="373"/>
      <c r="R922" s="373"/>
      <c r="S922" s="373"/>
      <c r="T922" s="373"/>
      <c r="U922" s="373"/>
      <c r="V922" s="373"/>
    </row>
    <row r="923" spans="6:22" ht="58.5" customHeight="1" x14ac:dyDescent="0.3">
      <c r="F923" s="373"/>
      <c r="G923" s="373"/>
      <c r="H923" s="373"/>
      <c r="I923" s="373"/>
      <c r="J923" s="373"/>
      <c r="K923" s="374"/>
      <c r="L923" s="373"/>
      <c r="M923" s="373"/>
      <c r="N923" s="373"/>
      <c r="O923" s="373"/>
      <c r="P923" s="373"/>
      <c r="Q923" s="373"/>
      <c r="R923" s="373"/>
      <c r="S923" s="373"/>
      <c r="T923" s="373"/>
      <c r="U923" s="373"/>
      <c r="V923" s="373"/>
    </row>
    <row r="924" spans="6:22" ht="58.5" customHeight="1" x14ac:dyDescent="0.3">
      <c r="F924" s="373"/>
      <c r="G924" s="373"/>
      <c r="H924" s="373"/>
      <c r="I924" s="373"/>
      <c r="J924" s="373"/>
      <c r="K924" s="374"/>
      <c r="L924" s="373"/>
      <c r="M924" s="373"/>
      <c r="N924" s="373"/>
      <c r="O924" s="373"/>
      <c r="P924" s="373"/>
      <c r="Q924" s="373"/>
      <c r="R924" s="373"/>
      <c r="S924" s="373"/>
      <c r="T924" s="373"/>
      <c r="U924" s="373"/>
      <c r="V924" s="373"/>
    </row>
    <row r="925" spans="6:22" ht="58.5" customHeight="1" x14ac:dyDescent="0.3">
      <c r="F925" s="373"/>
      <c r="G925" s="373"/>
      <c r="H925" s="373"/>
      <c r="I925" s="373"/>
      <c r="J925" s="373"/>
      <c r="K925" s="374"/>
      <c r="L925" s="373"/>
      <c r="M925" s="373"/>
      <c r="N925" s="373"/>
      <c r="O925" s="373"/>
      <c r="P925" s="373"/>
      <c r="Q925" s="373"/>
      <c r="R925" s="373"/>
      <c r="S925" s="373"/>
      <c r="T925" s="373"/>
      <c r="U925" s="373"/>
      <c r="V925" s="373"/>
    </row>
    <row r="926" spans="6:22" ht="58.5" customHeight="1" x14ac:dyDescent="0.3">
      <c r="F926" s="373"/>
      <c r="G926" s="373"/>
      <c r="H926" s="373"/>
      <c r="I926" s="373"/>
      <c r="J926" s="373"/>
      <c r="K926" s="374"/>
      <c r="L926" s="373"/>
      <c r="M926" s="373"/>
      <c r="N926" s="373"/>
      <c r="O926" s="373"/>
      <c r="P926" s="373"/>
      <c r="Q926" s="373"/>
      <c r="R926" s="373"/>
      <c r="S926" s="373"/>
      <c r="T926" s="373"/>
      <c r="U926" s="373"/>
      <c r="V926" s="373"/>
    </row>
    <row r="927" spans="6:22" ht="58.5" customHeight="1" x14ac:dyDescent="0.3">
      <c r="F927" s="373"/>
      <c r="G927" s="373"/>
      <c r="H927" s="373"/>
      <c r="I927" s="373"/>
      <c r="J927" s="373"/>
      <c r="K927" s="374"/>
      <c r="L927" s="373"/>
      <c r="M927" s="373"/>
      <c r="N927" s="373"/>
      <c r="O927" s="373"/>
      <c r="P927" s="373"/>
      <c r="Q927" s="373"/>
      <c r="R927" s="373"/>
      <c r="S927" s="373"/>
      <c r="T927" s="373"/>
      <c r="U927" s="373"/>
      <c r="V927" s="373"/>
    </row>
    <row r="928" spans="6:22" ht="58.5" customHeight="1" x14ac:dyDescent="0.3">
      <c r="F928" s="373"/>
      <c r="G928" s="373"/>
      <c r="H928" s="373"/>
      <c r="I928" s="373"/>
      <c r="J928" s="373"/>
      <c r="K928" s="374"/>
      <c r="L928" s="373"/>
      <c r="M928" s="373"/>
      <c r="N928" s="373"/>
      <c r="O928" s="373"/>
      <c r="P928" s="373"/>
      <c r="Q928" s="373"/>
      <c r="R928" s="373"/>
      <c r="S928" s="373"/>
      <c r="T928" s="373"/>
      <c r="U928" s="373"/>
      <c r="V928" s="373"/>
    </row>
    <row r="929" spans="6:22" ht="58.5" customHeight="1" x14ac:dyDescent="0.3">
      <c r="F929" s="373"/>
      <c r="G929" s="373"/>
      <c r="H929" s="373"/>
      <c r="I929" s="373"/>
      <c r="J929" s="373"/>
      <c r="K929" s="374"/>
      <c r="L929" s="373"/>
      <c r="M929" s="373"/>
      <c r="N929" s="373"/>
      <c r="O929" s="373"/>
      <c r="P929" s="373"/>
      <c r="Q929" s="373"/>
      <c r="R929" s="373"/>
      <c r="S929" s="373"/>
      <c r="T929" s="373"/>
      <c r="U929" s="373"/>
      <c r="V929" s="373"/>
    </row>
    <row r="930" spans="6:22" ht="58.5" customHeight="1" x14ac:dyDescent="0.3">
      <c r="F930" s="373"/>
      <c r="G930" s="373"/>
      <c r="H930" s="373"/>
      <c r="I930" s="373"/>
      <c r="J930" s="373"/>
      <c r="K930" s="374"/>
      <c r="L930" s="373"/>
      <c r="M930" s="373"/>
      <c r="N930" s="373"/>
      <c r="O930" s="373"/>
      <c r="P930" s="373"/>
      <c r="Q930" s="373"/>
      <c r="R930" s="373"/>
      <c r="S930" s="373"/>
      <c r="T930" s="373"/>
      <c r="U930" s="373"/>
      <c r="V930" s="373"/>
    </row>
    <row r="931" spans="6:22" ht="58.5" customHeight="1" x14ac:dyDescent="0.3">
      <c r="F931" s="373"/>
      <c r="G931" s="373"/>
      <c r="H931" s="373"/>
      <c r="I931" s="373"/>
      <c r="J931" s="373"/>
      <c r="K931" s="374"/>
      <c r="L931" s="373"/>
      <c r="M931" s="373"/>
      <c r="N931" s="373"/>
      <c r="O931" s="373"/>
      <c r="P931" s="373"/>
      <c r="Q931" s="373"/>
      <c r="R931" s="373"/>
      <c r="S931" s="373"/>
      <c r="T931" s="373"/>
      <c r="U931" s="373"/>
      <c r="V931" s="373"/>
    </row>
    <row r="932" spans="6:22" ht="58.5" customHeight="1" x14ac:dyDescent="0.3">
      <c r="F932" s="373"/>
      <c r="G932" s="373"/>
      <c r="H932" s="373"/>
      <c r="I932" s="373"/>
      <c r="J932" s="373"/>
      <c r="K932" s="374"/>
      <c r="L932" s="373"/>
      <c r="M932" s="373"/>
      <c r="N932" s="373"/>
      <c r="O932" s="373"/>
      <c r="P932" s="373"/>
      <c r="Q932" s="373"/>
      <c r="R932" s="373"/>
      <c r="S932" s="373"/>
      <c r="T932" s="373"/>
      <c r="U932" s="373"/>
      <c r="V932" s="373"/>
    </row>
    <row r="933" spans="6:22" ht="58.5" customHeight="1" x14ac:dyDescent="0.3">
      <c r="F933" s="373"/>
      <c r="G933" s="373"/>
      <c r="H933" s="373"/>
      <c r="I933" s="373"/>
      <c r="J933" s="373"/>
      <c r="K933" s="374"/>
      <c r="L933" s="373"/>
      <c r="M933" s="373"/>
      <c r="N933" s="373"/>
      <c r="O933" s="373"/>
      <c r="P933" s="373"/>
      <c r="Q933" s="373"/>
      <c r="R933" s="373"/>
      <c r="S933" s="373"/>
      <c r="T933" s="373"/>
      <c r="U933" s="373"/>
      <c r="V933" s="373"/>
    </row>
    <row r="934" spans="6:22" ht="58.5" customHeight="1" x14ac:dyDescent="0.3">
      <c r="F934" s="373"/>
      <c r="G934" s="373"/>
      <c r="H934" s="373"/>
      <c r="I934" s="373"/>
      <c r="J934" s="373"/>
      <c r="K934" s="374"/>
      <c r="L934" s="373"/>
      <c r="M934" s="373"/>
      <c r="N934" s="373"/>
      <c r="O934" s="373"/>
      <c r="P934" s="373"/>
      <c r="Q934" s="373"/>
      <c r="R934" s="373"/>
      <c r="S934" s="373"/>
      <c r="T934" s="373"/>
      <c r="U934" s="373"/>
      <c r="V934" s="373"/>
    </row>
    <row r="935" spans="6:22" ht="58.5" customHeight="1" x14ac:dyDescent="0.3">
      <c r="F935" s="373"/>
      <c r="G935" s="373"/>
      <c r="H935" s="373"/>
      <c r="I935" s="373"/>
      <c r="J935" s="373"/>
      <c r="K935" s="374"/>
      <c r="L935" s="373"/>
      <c r="M935" s="373"/>
      <c r="N935" s="373"/>
      <c r="O935" s="373"/>
      <c r="P935" s="373"/>
      <c r="Q935" s="373"/>
      <c r="R935" s="373"/>
      <c r="S935" s="373"/>
      <c r="T935" s="373"/>
      <c r="U935" s="373"/>
      <c r="V935" s="373"/>
    </row>
    <row r="936" spans="6:22" ht="58.5" customHeight="1" x14ac:dyDescent="0.3">
      <c r="F936" s="373"/>
      <c r="G936" s="373"/>
      <c r="H936" s="373"/>
      <c r="I936" s="373"/>
      <c r="J936" s="373"/>
      <c r="K936" s="374"/>
      <c r="L936" s="373"/>
      <c r="M936" s="373"/>
      <c r="N936" s="373"/>
      <c r="O936" s="373"/>
      <c r="P936" s="373"/>
      <c r="Q936" s="373"/>
      <c r="R936" s="373"/>
      <c r="S936" s="373"/>
      <c r="T936" s="373"/>
      <c r="U936" s="373"/>
      <c r="V936" s="373"/>
    </row>
    <row r="937" spans="6:22" ht="58.5" customHeight="1" x14ac:dyDescent="0.3">
      <c r="F937" s="373"/>
      <c r="G937" s="373"/>
      <c r="H937" s="373"/>
      <c r="I937" s="373"/>
      <c r="J937" s="373"/>
      <c r="K937" s="374"/>
      <c r="L937" s="373"/>
      <c r="M937" s="373"/>
      <c r="N937" s="373"/>
      <c r="O937" s="373"/>
      <c r="P937" s="373"/>
      <c r="Q937" s="373"/>
      <c r="R937" s="373"/>
      <c r="S937" s="373"/>
      <c r="T937" s="373"/>
      <c r="U937" s="373"/>
      <c r="V937" s="373"/>
    </row>
    <row r="938" spans="6:22" ht="58.5" customHeight="1" x14ac:dyDescent="0.3">
      <c r="F938" s="373"/>
      <c r="G938" s="373"/>
      <c r="H938" s="373"/>
      <c r="I938" s="373"/>
      <c r="J938" s="373"/>
      <c r="K938" s="374"/>
      <c r="L938" s="373"/>
      <c r="M938" s="373"/>
      <c r="N938" s="373"/>
      <c r="O938" s="373"/>
      <c r="P938" s="373"/>
      <c r="Q938" s="373"/>
      <c r="R938" s="373"/>
      <c r="S938" s="373"/>
      <c r="T938" s="373"/>
      <c r="U938" s="373"/>
      <c r="V938" s="373"/>
    </row>
    <row r="939" spans="6:22" ht="58.5" customHeight="1" x14ac:dyDescent="0.3">
      <c r="F939" s="373"/>
      <c r="G939" s="373"/>
      <c r="H939" s="373"/>
      <c r="I939" s="373"/>
      <c r="J939" s="373"/>
      <c r="K939" s="374"/>
      <c r="L939" s="373"/>
      <c r="M939" s="373"/>
      <c r="N939" s="373"/>
      <c r="O939" s="373"/>
      <c r="P939" s="373"/>
      <c r="Q939" s="373"/>
      <c r="R939" s="373"/>
      <c r="S939" s="373"/>
      <c r="T939" s="373"/>
      <c r="U939" s="373"/>
      <c r="V939" s="373"/>
    </row>
    <row r="940" spans="6:22" ht="58.5" customHeight="1" x14ac:dyDescent="0.3">
      <c r="F940" s="373"/>
      <c r="G940" s="373"/>
      <c r="H940" s="373"/>
      <c r="I940" s="373"/>
      <c r="J940" s="373"/>
      <c r="K940" s="374"/>
      <c r="L940" s="373"/>
      <c r="M940" s="373"/>
      <c r="N940" s="373"/>
      <c r="O940" s="373"/>
      <c r="P940" s="373"/>
      <c r="Q940" s="373"/>
      <c r="R940" s="373"/>
      <c r="S940" s="373"/>
      <c r="T940" s="373"/>
      <c r="U940" s="373"/>
      <c r="V940" s="373"/>
    </row>
    <row r="941" spans="6:22" ht="58.5" customHeight="1" x14ac:dyDescent="0.3">
      <c r="F941" s="373"/>
      <c r="G941" s="373"/>
      <c r="H941" s="373"/>
      <c r="I941" s="373"/>
      <c r="J941" s="373"/>
      <c r="K941" s="374"/>
      <c r="L941" s="373"/>
      <c r="M941" s="373"/>
      <c r="N941" s="373"/>
      <c r="O941" s="373"/>
      <c r="P941" s="373"/>
      <c r="Q941" s="373"/>
      <c r="R941" s="373"/>
      <c r="S941" s="373"/>
      <c r="T941" s="373"/>
      <c r="U941" s="373"/>
      <c r="V941" s="373"/>
    </row>
    <row r="942" spans="6:22" ht="58.5" customHeight="1" x14ac:dyDescent="0.3">
      <c r="F942" s="373"/>
      <c r="G942" s="373"/>
      <c r="H942" s="373"/>
      <c r="I942" s="373"/>
      <c r="J942" s="373"/>
      <c r="K942" s="374"/>
      <c r="L942" s="373"/>
      <c r="M942" s="373"/>
      <c r="N942" s="373"/>
      <c r="O942" s="373"/>
      <c r="P942" s="373"/>
      <c r="Q942" s="373"/>
      <c r="R942" s="373"/>
      <c r="S942" s="373"/>
      <c r="T942" s="373"/>
      <c r="U942" s="373"/>
      <c r="V942" s="373"/>
    </row>
    <row r="943" spans="6:22" ht="58.5" customHeight="1" x14ac:dyDescent="0.3">
      <c r="F943" s="373"/>
      <c r="G943" s="373"/>
      <c r="H943" s="373"/>
      <c r="I943" s="373"/>
      <c r="J943" s="373"/>
      <c r="K943" s="374"/>
      <c r="L943" s="373"/>
      <c r="M943" s="373"/>
      <c r="N943" s="373"/>
      <c r="O943" s="373"/>
      <c r="P943" s="373"/>
      <c r="Q943" s="373"/>
      <c r="R943" s="373"/>
      <c r="S943" s="373"/>
      <c r="T943" s="373"/>
      <c r="U943" s="373"/>
      <c r="V943" s="373"/>
    </row>
    <row r="944" spans="6:22" ht="58.5" customHeight="1" x14ac:dyDescent="0.3">
      <c r="F944" s="373"/>
      <c r="G944" s="373"/>
      <c r="H944" s="373"/>
      <c r="I944" s="373"/>
      <c r="J944" s="373"/>
      <c r="K944" s="374"/>
      <c r="L944" s="373"/>
      <c r="M944" s="373"/>
      <c r="N944" s="373"/>
      <c r="O944" s="373"/>
      <c r="P944" s="373"/>
      <c r="Q944" s="373"/>
      <c r="R944" s="373"/>
      <c r="S944" s="373"/>
      <c r="T944" s="373"/>
      <c r="U944" s="373"/>
      <c r="V944" s="373"/>
    </row>
    <row r="945" spans="6:22" ht="58.5" customHeight="1" x14ac:dyDescent="0.3">
      <c r="F945" s="373"/>
      <c r="G945" s="373"/>
      <c r="H945" s="373"/>
      <c r="I945" s="373"/>
      <c r="J945" s="373"/>
      <c r="K945" s="374"/>
      <c r="L945" s="373"/>
      <c r="M945" s="373"/>
      <c r="N945" s="373"/>
      <c r="O945" s="373"/>
      <c r="P945" s="373"/>
      <c r="Q945" s="373"/>
      <c r="R945" s="373"/>
      <c r="S945" s="373"/>
      <c r="T945" s="373"/>
      <c r="U945" s="373"/>
      <c r="V945" s="373"/>
    </row>
    <row r="946" spans="6:22" ht="58.5" customHeight="1" x14ac:dyDescent="0.3">
      <c r="F946" s="373"/>
      <c r="G946" s="373"/>
      <c r="H946" s="373"/>
      <c r="I946" s="373"/>
      <c r="J946" s="373"/>
      <c r="K946" s="374"/>
      <c r="L946" s="373"/>
      <c r="M946" s="373"/>
      <c r="N946" s="373"/>
      <c r="O946" s="373"/>
      <c r="P946" s="373"/>
      <c r="Q946" s="373"/>
      <c r="R946" s="373"/>
      <c r="S946" s="373"/>
      <c r="T946" s="373"/>
      <c r="U946" s="373"/>
      <c r="V946" s="373"/>
    </row>
    <row r="947" spans="6:22" ht="58.5" customHeight="1" x14ac:dyDescent="0.3">
      <c r="F947" s="373"/>
      <c r="G947" s="373"/>
      <c r="H947" s="373"/>
      <c r="I947" s="373"/>
      <c r="J947" s="373"/>
      <c r="K947" s="374"/>
      <c r="L947" s="373"/>
      <c r="M947" s="373"/>
      <c r="N947" s="373"/>
      <c r="O947" s="373"/>
      <c r="P947" s="373"/>
      <c r="Q947" s="373"/>
      <c r="R947" s="373"/>
      <c r="S947" s="373"/>
      <c r="T947" s="373"/>
      <c r="U947" s="373"/>
      <c r="V947" s="373"/>
    </row>
    <row r="948" spans="6:22" ht="58.5" customHeight="1" x14ac:dyDescent="0.3">
      <c r="F948" s="373"/>
      <c r="G948" s="373"/>
      <c r="H948" s="373"/>
      <c r="I948" s="373"/>
      <c r="J948" s="373"/>
      <c r="K948" s="374"/>
      <c r="L948" s="373"/>
      <c r="M948" s="373"/>
      <c r="N948" s="373"/>
      <c r="O948" s="373"/>
      <c r="P948" s="373"/>
      <c r="Q948" s="373"/>
      <c r="R948" s="373"/>
      <c r="S948" s="373"/>
      <c r="T948" s="373"/>
      <c r="U948" s="373"/>
      <c r="V948" s="373"/>
    </row>
    <row r="949" spans="6:22" ht="58.5" customHeight="1" x14ac:dyDescent="0.3">
      <c r="F949" s="373"/>
      <c r="G949" s="373"/>
      <c r="H949" s="373"/>
      <c r="I949" s="373"/>
      <c r="J949" s="373"/>
      <c r="K949" s="374"/>
      <c r="L949" s="373"/>
      <c r="M949" s="373"/>
      <c r="N949" s="373"/>
      <c r="O949" s="373"/>
      <c r="P949" s="373"/>
      <c r="Q949" s="373"/>
      <c r="R949" s="373"/>
      <c r="S949" s="373"/>
      <c r="T949" s="373"/>
      <c r="U949" s="373"/>
      <c r="V949" s="373"/>
    </row>
    <row r="950" spans="6:22" ht="58.5" customHeight="1" x14ac:dyDescent="0.3">
      <c r="F950" s="373"/>
      <c r="G950" s="373"/>
      <c r="H950" s="373"/>
      <c r="I950" s="373"/>
      <c r="J950" s="373"/>
      <c r="K950" s="374"/>
      <c r="L950" s="373"/>
      <c r="M950" s="373"/>
      <c r="N950" s="373"/>
      <c r="O950" s="373"/>
      <c r="P950" s="373"/>
      <c r="Q950" s="373"/>
      <c r="R950" s="373"/>
      <c r="S950" s="373"/>
      <c r="T950" s="373"/>
      <c r="U950" s="373"/>
      <c r="V950" s="373"/>
    </row>
    <row r="951" spans="6:22" ht="58.5" customHeight="1" x14ac:dyDescent="0.3">
      <c r="F951" s="373"/>
      <c r="G951" s="373"/>
      <c r="H951" s="373"/>
      <c r="I951" s="373"/>
      <c r="J951" s="373"/>
      <c r="K951" s="374"/>
      <c r="L951" s="373"/>
      <c r="M951" s="373"/>
      <c r="N951" s="373"/>
      <c r="O951" s="373"/>
      <c r="P951" s="373"/>
      <c r="Q951" s="373"/>
      <c r="R951" s="373"/>
      <c r="S951" s="373"/>
      <c r="T951" s="373"/>
      <c r="U951" s="373"/>
      <c r="V951" s="373"/>
    </row>
    <row r="952" spans="6:22" ht="58.5" customHeight="1" x14ac:dyDescent="0.3">
      <c r="F952" s="373"/>
      <c r="G952" s="373"/>
      <c r="H952" s="373"/>
      <c r="I952" s="373"/>
      <c r="J952" s="373"/>
      <c r="K952" s="374"/>
      <c r="L952" s="373"/>
      <c r="M952" s="373"/>
      <c r="N952" s="373"/>
      <c r="O952" s="373"/>
      <c r="P952" s="373"/>
      <c r="Q952" s="373"/>
      <c r="R952" s="373"/>
      <c r="S952" s="373"/>
      <c r="T952" s="373"/>
      <c r="U952" s="373"/>
      <c r="V952" s="373"/>
    </row>
    <row r="953" spans="6:22" ht="58.5" customHeight="1" x14ac:dyDescent="0.3">
      <c r="F953" s="373"/>
      <c r="G953" s="373"/>
      <c r="H953" s="373"/>
      <c r="I953" s="373"/>
      <c r="J953" s="373"/>
      <c r="K953" s="374"/>
      <c r="L953" s="373"/>
      <c r="M953" s="373"/>
      <c r="N953" s="373"/>
      <c r="O953" s="373"/>
      <c r="P953" s="373"/>
      <c r="Q953" s="373"/>
      <c r="R953" s="373"/>
      <c r="S953" s="373"/>
      <c r="T953" s="373"/>
      <c r="U953" s="373"/>
      <c r="V953" s="373"/>
    </row>
    <row r="954" spans="6:22" ht="58.5" customHeight="1" x14ac:dyDescent="0.3">
      <c r="F954" s="373"/>
      <c r="G954" s="373"/>
      <c r="H954" s="373"/>
      <c r="I954" s="373"/>
      <c r="J954" s="373"/>
      <c r="K954" s="374"/>
      <c r="L954" s="373"/>
      <c r="M954" s="373"/>
      <c r="N954" s="373"/>
      <c r="O954" s="373"/>
      <c r="P954" s="373"/>
      <c r="Q954" s="373"/>
      <c r="R954" s="373"/>
      <c r="S954" s="373"/>
      <c r="T954" s="373"/>
      <c r="U954" s="373"/>
      <c r="V954" s="373"/>
    </row>
    <row r="955" spans="6:22" ht="58.5" customHeight="1" x14ac:dyDescent="0.3">
      <c r="F955" s="373"/>
      <c r="G955" s="373"/>
      <c r="H955" s="373"/>
      <c r="I955" s="373"/>
      <c r="J955" s="373"/>
      <c r="K955" s="374"/>
      <c r="L955" s="373"/>
      <c r="M955" s="373"/>
      <c r="N955" s="373"/>
      <c r="O955" s="373"/>
      <c r="P955" s="373"/>
      <c r="Q955" s="373"/>
      <c r="R955" s="373"/>
      <c r="S955" s="373"/>
      <c r="T955" s="373"/>
      <c r="U955" s="373"/>
      <c r="V955" s="373"/>
    </row>
    <row r="956" spans="6:22" ht="58.5" customHeight="1" x14ac:dyDescent="0.3">
      <c r="F956" s="373"/>
      <c r="G956" s="373"/>
      <c r="H956" s="373"/>
      <c r="I956" s="373"/>
      <c r="J956" s="373"/>
      <c r="K956" s="374"/>
      <c r="L956" s="373"/>
      <c r="M956" s="373"/>
      <c r="N956" s="373"/>
      <c r="O956" s="373"/>
      <c r="P956" s="373"/>
      <c r="Q956" s="373"/>
      <c r="R956" s="373"/>
      <c r="S956" s="373"/>
      <c r="T956" s="373"/>
      <c r="U956" s="373"/>
      <c r="V956" s="373"/>
    </row>
    <row r="957" spans="6:22" ht="58.5" customHeight="1" x14ac:dyDescent="0.3">
      <c r="F957" s="373"/>
      <c r="G957" s="373"/>
      <c r="H957" s="373"/>
      <c r="I957" s="373"/>
      <c r="J957" s="373"/>
      <c r="K957" s="374"/>
      <c r="L957" s="373"/>
      <c r="M957" s="373"/>
      <c r="N957" s="373"/>
      <c r="O957" s="373"/>
      <c r="P957" s="373"/>
      <c r="Q957" s="373"/>
      <c r="R957" s="373"/>
      <c r="S957" s="373"/>
      <c r="T957" s="373"/>
      <c r="U957" s="373"/>
      <c r="V957" s="373"/>
    </row>
    <row r="958" spans="6:22" ht="58.5" customHeight="1" x14ac:dyDescent="0.3">
      <c r="F958" s="373"/>
      <c r="G958" s="373"/>
      <c r="H958" s="373"/>
      <c r="I958" s="373"/>
      <c r="J958" s="373"/>
      <c r="K958" s="374"/>
      <c r="L958" s="373"/>
      <c r="M958" s="373"/>
      <c r="N958" s="373"/>
      <c r="O958" s="373"/>
      <c r="P958" s="373"/>
      <c r="Q958" s="373"/>
      <c r="R958" s="373"/>
      <c r="S958" s="373"/>
      <c r="T958" s="373"/>
      <c r="U958" s="373"/>
      <c r="V958" s="373"/>
    </row>
    <row r="959" spans="6:22" ht="58.5" customHeight="1" x14ac:dyDescent="0.3">
      <c r="F959" s="373"/>
      <c r="G959" s="373"/>
      <c r="H959" s="373"/>
      <c r="I959" s="373"/>
      <c r="J959" s="373"/>
      <c r="K959" s="374"/>
      <c r="L959" s="373"/>
      <c r="M959" s="373"/>
      <c r="N959" s="373"/>
      <c r="O959" s="373"/>
      <c r="P959" s="373"/>
      <c r="Q959" s="373"/>
      <c r="R959" s="373"/>
      <c r="S959" s="373"/>
      <c r="T959" s="373"/>
      <c r="U959" s="373"/>
      <c r="V959" s="373"/>
    </row>
    <row r="960" spans="6:22" ht="58.5" customHeight="1" x14ac:dyDescent="0.3">
      <c r="F960" s="373"/>
      <c r="G960" s="373"/>
      <c r="H960" s="373"/>
      <c r="I960" s="373"/>
      <c r="J960" s="373"/>
      <c r="K960" s="374"/>
      <c r="L960" s="373"/>
      <c r="M960" s="373"/>
      <c r="N960" s="373"/>
      <c r="O960" s="373"/>
      <c r="P960" s="373"/>
      <c r="Q960" s="373"/>
      <c r="R960" s="373"/>
      <c r="S960" s="373"/>
      <c r="T960" s="373"/>
      <c r="U960" s="373"/>
      <c r="V960" s="373"/>
    </row>
    <row r="961" spans="6:22" ht="58.5" customHeight="1" x14ac:dyDescent="0.3">
      <c r="F961" s="373"/>
      <c r="G961" s="373"/>
      <c r="H961" s="373"/>
      <c r="I961" s="373"/>
      <c r="J961" s="373"/>
      <c r="K961" s="374"/>
      <c r="L961" s="373"/>
      <c r="M961" s="373"/>
      <c r="N961" s="373"/>
      <c r="O961" s="373"/>
      <c r="P961" s="373"/>
      <c r="Q961" s="373"/>
      <c r="R961" s="373"/>
      <c r="S961" s="373"/>
      <c r="T961" s="373"/>
      <c r="U961" s="373"/>
      <c r="V961" s="373"/>
    </row>
    <row r="962" spans="6:22" ht="58.5" customHeight="1" x14ac:dyDescent="0.3">
      <c r="F962" s="373"/>
      <c r="G962" s="373"/>
      <c r="H962" s="373"/>
      <c r="I962" s="373"/>
      <c r="J962" s="373"/>
      <c r="K962" s="374"/>
      <c r="L962" s="373"/>
      <c r="M962" s="373"/>
      <c r="N962" s="373"/>
      <c r="O962" s="373"/>
      <c r="P962" s="373"/>
      <c r="Q962" s="373"/>
      <c r="R962" s="373"/>
      <c r="S962" s="373"/>
      <c r="T962" s="373"/>
      <c r="U962" s="373"/>
      <c r="V962" s="373"/>
    </row>
    <row r="963" spans="6:22" ht="58.5" customHeight="1" x14ac:dyDescent="0.3">
      <c r="F963" s="373"/>
      <c r="G963" s="373"/>
      <c r="H963" s="373"/>
      <c r="I963" s="373"/>
      <c r="J963" s="373"/>
      <c r="K963" s="374"/>
      <c r="L963" s="373"/>
      <c r="M963" s="373"/>
      <c r="N963" s="373"/>
      <c r="O963" s="373"/>
      <c r="P963" s="373"/>
      <c r="Q963" s="373"/>
      <c r="R963" s="373"/>
      <c r="S963" s="373"/>
      <c r="T963" s="373"/>
      <c r="U963" s="373"/>
      <c r="V963" s="373"/>
    </row>
    <row r="964" spans="6:22" ht="58.5" customHeight="1" x14ac:dyDescent="0.3">
      <c r="F964" s="373"/>
      <c r="G964" s="373"/>
      <c r="H964" s="373"/>
      <c r="I964" s="373"/>
      <c r="J964" s="373"/>
      <c r="K964" s="374"/>
      <c r="L964" s="373"/>
      <c r="M964" s="373"/>
      <c r="N964" s="373"/>
      <c r="O964" s="373"/>
      <c r="P964" s="373"/>
      <c r="Q964" s="373"/>
      <c r="R964" s="373"/>
      <c r="S964" s="373"/>
      <c r="T964" s="373"/>
      <c r="U964" s="373"/>
      <c r="V964" s="373"/>
    </row>
    <row r="965" spans="6:22" ht="58.5" customHeight="1" x14ac:dyDescent="0.3">
      <c r="F965" s="373"/>
      <c r="G965" s="373"/>
      <c r="H965" s="373"/>
      <c r="I965" s="373"/>
      <c r="J965" s="373"/>
      <c r="K965" s="374"/>
      <c r="L965" s="373"/>
      <c r="M965" s="373"/>
      <c r="N965" s="373"/>
      <c r="O965" s="373"/>
      <c r="P965" s="373"/>
      <c r="Q965" s="373"/>
      <c r="R965" s="373"/>
      <c r="S965" s="373"/>
      <c r="T965" s="373"/>
      <c r="U965" s="373"/>
      <c r="V965" s="373"/>
    </row>
    <row r="966" spans="6:22" ht="58.5" customHeight="1" x14ac:dyDescent="0.3">
      <c r="F966" s="373"/>
      <c r="G966" s="373"/>
      <c r="H966" s="373"/>
      <c r="I966" s="373"/>
      <c r="J966" s="373"/>
      <c r="K966" s="374"/>
      <c r="L966" s="373"/>
      <c r="M966" s="373"/>
      <c r="N966" s="373"/>
      <c r="O966" s="373"/>
      <c r="P966" s="373"/>
      <c r="Q966" s="373"/>
      <c r="R966" s="373"/>
      <c r="S966" s="373"/>
      <c r="T966" s="373"/>
      <c r="U966" s="373"/>
      <c r="V966" s="373"/>
    </row>
    <row r="967" spans="6:22" ht="58.5" customHeight="1" x14ac:dyDescent="0.3">
      <c r="F967" s="373"/>
      <c r="G967" s="373"/>
      <c r="H967" s="373"/>
      <c r="I967" s="373"/>
      <c r="J967" s="373"/>
      <c r="K967" s="374"/>
      <c r="L967" s="373"/>
      <c r="M967" s="373"/>
      <c r="N967" s="373"/>
      <c r="O967" s="373"/>
      <c r="P967" s="373"/>
      <c r="Q967" s="373"/>
      <c r="R967" s="373"/>
      <c r="S967" s="373"/>
      <c r="T967" s="373"/>
      <c r="U967" s="373"/>
      <c r="V967" s="373"/>
    </row>
    <row r="968" spans="6:22" ht="58.5" customHeight="1" x14ac:dyDescent="0.3">
      <c r="F968" s="373"/>
      <c r="G968" s="373"/>
      <c r="H968" s="373"/>
      <c r="I968" s="373"/>
      <c r="J968" s="373"/>
      <c r="K968" s="374"/>
      <c r="L968" s="373"/>
      <c r="M968" s="373"/>
      <c r="N968" s="373"/>
      <c r="O968" s="373"/>
      <c r="P968" s="373"/>
      <c r="Q968" s="373"/>
      <c r="R968" s="373"/>
      <c r="S968" s="373"/>
      <c r="T968" s="373"/>
      <c r="U968" s="373"/>
      <c r="V968" s="373"/>
    </row>
    <row r="969" spans="6:22" ht="58.5" customHeight="1" x14ac:dyDescent="0.3">
      <c r="F969" s="373"/>
      <c r="G969" s="373"/>
      <c r="H969" s="373"/>
      <c r="I969" s="373"/>
      <c r="J969" s="373"/>
      <c r="K969" s="374"/>
      <c r="L969" s="373"/>
      <c r="M969" s="373"/>
      <c r="N969" s="373"/>
      <c r="O969" s="373"/>
      <c r="P969" s="373"/>
      <c r="Q969" s="373"/>
      <c r="R969" s="373"/>
      <c r="S969" s="373"/>
      <c r="T969" s="373"/>
      <c r="U969" s="373"/>
      <c r="V969" s="373"/>
    </row>
    <row r="970" spans="6:22" ht="58.5" customHeight="1" x14ac:dyDescent="0.3">
      <c r="F970" s="373"/>
      <c r="G970" s="373"/>
      <c r="H970" s="373"/>
      <c r="I970" s="373"/>
      <c r="J970" s="373"/>
      <c r="K970" s="374"/>
      <c r="L970" s="373"/>
      <c r="M970" s="373"/>
      <c r="N970" s="373"/>
      <c r="O970" s="373"/>
      <c r="P970" s="373"/>
      <c r="Q970" s="373"/>
      <c r="R970" s="373"/>
      <c r="S970" s="373"/>
      <c r="T970" s="373"/>
      <c r="U970" s="373"/>
      <c r="V970" s="373"/>
    </row>
    <row r="971" spans="6:22" ht="58.5" customHeight="1" x14ac:dyDescent="0.3">
      <c r="F971" s="373"/>
      <c r="G971" s="373"/>
      <c r="H971" s="373"/>
      <c r="I971" s="373"/>
      <c r="J971" s="373"/>
      <c r="K971" s="374"/>
      <c r="L971" s="373"/>
      <c r="M971" s="373"/>
      <c r="N971" s="373"/>
      <c r="O971" s="373"/>
      <c r="P971" s="373"/>
      <c r="Q971" s="373"/>
      <c r="R971" s="373"/>
      <c r="S971" s="373"/>
      <c r="T971" s="373"/>
      <c r="U971" s="373"/>
      <c r="V971" s="373"/>
    </row>
    <row r="972" spans="6:22" ht="58.5" customHeight="1" x14ac:dyDescent="0.3">
      <c r="F972" s="373"/>
      <c r="G972" s="373"/>
      <c r="H972" s="373"/>
      <c r="I972" s="373"/>
      <c r="J972" s="373"/>
      <c r="K972" s="374"/>
      <c r="L972" s="373"/>
      <c r="M972" s="373"/>
      <c r="N972" s="373"/>
      <c r="O972" s="373"/>
      <c r="P972" s="373"/>
      <c r="Q972" s="373"/>
      <c r="R972" s="373"/>
      <c r="S972" s="373"/>
      <c r="T972" s="373"/>
      <c r="U972" s="373"/>
      <c r="V972" s="373"/>
    </row>
    <row r="973" spans="6:22" ht="58.5" customHeight="1" x14ac:dyDescent="0.3">
      <c r="F973" s="373"/>
      <c r="G973" s="373"/>
      <c r="H973" s="373"/>
      <c r="I973" s="373"/>
      <c r="J973" s="373"/>
      <c r="K973" s="374"/>
      <c r="L973" s="373"/>
      <c r="M973" s="373"/>
      <c r="N973" s="373"/>
      <c r="O973" s="373"/>
      <c r="P973" s="373"/>
      <c r="Q973" s="373"/>
      <c r="R973" s="373"/>
      <c r="S973" s="373"/>
      <c r="T973" s="373"/>
      <c r="U973" s="373"/>
      <c r="V973" s="373"/>
    </row>
    <row r="974" spans="6:22" ht="58.5" customHeight="1" x14ac:dyDescent="0.3">
      <c r="F974" s="373"/>
      <c r="G974" s="373"/>
      <c r="H974" s="373"/>
      <c r="I974" s="373"/>
      <c r="J974" s="373"/>
      <c r="K974" s="374"/>
      <c r="L974" s="373"/>
      <c r="M974" s="373"/>
      <c r="N974" s="373"/>
      <c r="O974" s="373"/>
      <c r="P974" s="373"/>
      <c r="Q974" s="373"/>
      <c r="R974" s="373"/>
      <c r="S974" s="373"/>
      <c r="T974" s="373"/>
      <c r="U974" s="373"/>
      <c r="V974" s="373"/>
    </row>
    <row r="975" spans="6:22" ht="58.5" customHeight="1" x14ac:dyDescent="0.3">
      <c r="F975" s="373"/>
      <c r="G975" s="373"/>
      <c r="H975" s="373"/>
      <c r="I975" s="373"/>
      <c r="J975" s="373"/>
      <c r="K975" s="374"/>
      <c r="L975" s="373"/>
      <c r="M975" s="373"/>
      <c r="N975" s="373"/>
      <c r="O975" s="373"/>
      <c r="P975" s="373"/>
      <c r="Q975" s="373"/>
      <c r="R975" s="373"/>
      <c r="S975" s="373"/>
      <c r="T975" s="373"/>
      <c r="U975" s="373"/>
      <c r="V975" s="373"/>
    </row>
    <row r="976" spans="6:22" ht="58.5" customHeight="1" x14ac:dyDescent="0.3">
      <c r="F976" s="373"/>
      <c r="G976" s="373"/>
      <c r="H976" s="373"/>
      <c r="I976" s="373"/>
      <c r="J976" s="373"/>
      <c r="K976" s="374"/>
      <c r="L976" s="373"/>
      <c r="M976" s="373"/>
      <c r="N976" s="373"/>
      <c r="O976" s="373"/>
      <c r="P976" s="373"/>
      <c r="Q976" s="373"/>
      <c r="R976" s="373"/>
      <c r="S976" s="373"/>
      <c r="T976" s="373"/>
      <c r="U976" s="373"/>
      <c r="V976" s="373"/>
    </row>
    <row r="977" spans="6:22" ht="58.5" customHeight="1" x14ac:dyDescent="0.3">
      <c r="F977" s="373"/>
      <c r="G977" s="373"/>
      <c r="H977" s="373"/>
      <c r="I977" s="373"/>
      <c r="J977" s="373"/>
      <c r="K977" s="374"/>
      <c r="L977" s="373"/>
      <c r="M977" s="373"/>
      <c r="N977" s="373"/>
      <c r="O977" s="373"/>
      <c r="P977" s="373"/>
      <c r="Q977" s="373"/>
      <c r="R977" s="373"/>
      <c r="S977" s="373"/>
      <c r="T977" s="373"/>
      <c r="U977" s="373"/>
      <c r="V977" s="373"/>
    </row>
    <row r="978" spans="6:22" ht="58.5" customHeight="1" x14ac:dyDescent="0.3">
      <c r="F978" s="373"/>
      <c r="G978" s="373"/>
      <c r="H978" s="373"/>
      <c r="I978" s="373"/>
      <c r="J978" s="373"/>
      <c r="K978" s="374"/>
      <c r="L978" s="373"/>
      <c r="M978" s="373"/>
      <c r="N978" s="373"/>
      <c r="O978" s="373"/>
      <c r="P978" s="373"/>
      <c r="Q978" s="373"/>
      <c r="R978" s="373"/>
      <c r="S978" s="373"/>
      <c r="T978" s="373"/>
      <c r="U978" s="373"/>
      <c r="V978" s="373"/>
    </row>
    <row r="979" spans="6:22" ht="58.5" customHeight="1" x14ac:dyDescent="0.3">
      <c r="F979" s="373"/>
      <c r="G979" s="373"/>
      <c r="H979" s="373"/>
      <c r="I979" s="373"/>
      <c r="J979" s="373"/>
      <c r="K979" s="374"/>
      <c r="L979" s="373"/>
      <c r="M979" s="373"/>
      <c r="N979" s="373"/>
      <c r="O979" s="373"/>
      <c r="P979" s="373"/>
      <c r="Q979" s="373"/>
      <c r="R979" s="373"/>
      <c r="S979" s="373"/>
      <c r="T979" s="373"/>
      <c r="U979" s="373"/>
      <c r="V979" s="373"/>
    </row>
    <row r="980" spans="6:22" ht="58.5" customHeight="1" x14ac:dyDescent="0.3">
      <c r="F980" s="373"/>
      <c r="G980" s="373"/>
      <c r="H980" s="373"/>
      <c r="I980" s="373"/>
      <c r="J980" s="373"/>
      <c r="K980" s="374"/>
      <c r="L980" s="373"/>
      <c r="M980" s="373"/>
      <c r="N980" s="373"/>
      <c r="O980" s="373"/>
      <c r="P980" s="373"/>
      <c r="Q980" s="373"/>
      <c r="R980" s="373"/>
      <c r="S980" s="373"/>
      <c r="T980" s="373"/>
      <c r="U980" s="373"/>
      <c r="V980" s="373"/>
    </row>
    <row r="981" spans="6:22" ht="58.5" customHeight="1" x14ac:dyDescent="0.3">
      <c r="F981" s="373"/>
      <c r="G981" s="373"/>
      <c r="H981" s="373"/>
      <c r="I981" s="373"/>
      <c r="J981" s="373"/>
      <c r="K981" s="374"/>
      <c r="L981" s="373"/>
      <c r="M981" s="373"/>
      <c r="N981" s="373"/>
      <c r="O981" s="373"/>
      <c r="P981" s="373"/>
      <c r="Q981" s="373"/>
      <c r="R981" s="373"/>
      <c r="S981" s="373"/>
      <c r="T981" s="373"/>
      <c r="U981" s="373"/>
      <c r="V981" s="373"/>
    </row>
    <row r="982" spans="6:22" ht="58.5" customHeight="1" x14ac:dyDescent="0.3">
      <c r="F982" s="373"/>
      <c r="G982" s="373"/>
      <c r="H982" s="373"/>
      <c r="I982" s="373"/>
      <c r="J982" s="373"/>
      <c r="K982" s="374"/>
      <c r="L982" s="373"/>
      <c r="M982" s="373"/>
      <c r="N982" s="373"/>
      <c r="O982" s="373"/>
      <c r="P982" s="373"/>
      <c r="Q982" s="373"/>
      <c r="R982" s="373"/>
      <c r="S982" s="373"/>
      <c r="T982" s="373"/>
      <c r="U982" s="373"/>
      <c r="V982" s="373"/>
    </row>
    <row r="983" spans="6:22" ht="58.5" customHeight="1" x14ac:dyDescent="0.3">
      <c r="F983" s="373"/>
      <c r="G983" s="373"/>
      <c r="H983" s="373"/>
      <c r="I983" s="373"/>
      <c r="J983" s="373"/>
      <c r="K983" s="374"/>
      <c r="L983" s="373"/>
      <c r="M983" s="373"/>
      <c r="N983" s="373"/>
      <c r="O983" s="373"/>
      <c r="P983" s="373"/>
      <c r="Q983" s="373"/>
      <c r="R983" s="373"/>
      <c r="S983" s="373"/>
      <c r="T983" s="373"/>
      <c r="U983" s="373"/>
      <c r="V983" s="373"/>
    </row>
    <row r="984" spans="6:22" ht="58.5" customHeight="1" x14ac:dyDescent="0.3">
      <c r="F984" s="373"/>
      <c r="G984" s="373"/>
      <c r="H984" s="373"/>
      <c r="I984" s="373"/>
      <c r="J984" s="373"/>
      <c r="K984" s="374"/>
      <c r="L984" s="373"/>
      <c r="M984" s="373"/>
      <c r="N984" s="373"/>
      <c r="O984" s="373"/>
      <c r="P984" s="373"/>
      <c r="Q984" s="373"/>
      <c r="R984" s="373"/>
      <c r="S984" s="373"/>
      <c r="T984" s="373"/>
      <c r="U984" s="373"/>
      <c r="V984" s="373"/>
    </row>
    <row r="985" spans="6:22" ht="58.5" customHeight="1" x14ac:dyDescent="0.3">
      <c r="F985" s="373"/>
      <c r="G985" s="373"/>
      <c r="H985" s="373"/>
      <c r="I985" s="373"/>
      <c r="J985" s="373"/>
      <c r="K985" s="374"/>
      <c r="L985" s="373"/>
      <c r="M985" s="373"/>
      <c r="N985" s="373"/>
      <c r="O985" s="373"/>
      <c r="P985" s="373"/>
      <c r="Q985" s="373"/>
      <c r="R985" s="373"/>
      <c r="S985" s="373"/>
      <c r="T985" s="373"/>
      <c r="U985" s="373"/>
      <c r="V985" s="373"/>
    </row>
    <row r="986" spans="6:22" ht="58.5" customHeight="1" x14ac:dyDescent="0.3">
      <c r="F986" s="373"/>
      <c r="G986" s="373"/>
      <c r="H986" s="373"/>
      <c r="I986" s="373"/>
      <c r="J986" s="373"/>
      <c r="K986" s="374"/>
      <c r="L986" s="373"/>
      <c r="M986" s="373"/>
      <c r="N986" s="373"/>
      <c r="O986" s="373"/>
      <c r="P986" s="373"/>
      <c r="Q986" s="373"/>
      <c r="R986" s="373"/>
      <c r="S986" s="373"/>
      <c r="T986" s="373"/>
      <c r="U986" s="373"/>
      <c r="V986" s="373"/>
    </row>
    <row r="987" spans="6:22" ht="58.5" customHeight="1" x14ac:dyDescent="0.3">
      <c r="F987" s="373"/>
      <c r="G987" s="373"/>
      <c r="H987" s="373"/>
      <c r="I987" s="373"/>
      <c r="J987" s="373"/>
      <c r="K987" s="374"/>
      <c r="L987" s="373"/>
      <c r="M987" s="373"/>
      <c r="N987" s="373"/>
      <c r="O987" s="373"/>
      <c r="P987" s="373"/>
      <c r="Q987" s="373"/>
      <c r="R987" s="373"/>
      <c r="S987" s="373"/>
      <c r="T987" s="373"/>
      <c r="U987" s="373"/>
      <c r="V987" s="373"/>
    </row>
    <row r="988" spans="6:22" ht="58.5" customHeight="1" x14ac:dyDescent="0.3">
      <c r="F988" s="373"/>
      <c r="G988" s="373"/>
      <c r="H988" s="373"/>
      <c r="I988" s="373"/>
      <c r="J988" s="373"/>
      <c r="K988" s="374"/>
      <c r="L988" s="373"/>
      <c r="M988" s="373"/>
      <c r="N988" s="373"/>
      <c r="O988" s="373"/>
      <c r="P988" s="373"/>
      <c r="Q988" s="373"/>
      <c r="R988" s="373"/>
      <c r="S988" s="373"/>
      <c r="T988" s="373"/>
      <c r="U988" s="373"/>
      <c r="V988" s="373"/>
    </row>
    <row r="989" spans="6:22" ht="58.5" customHeight="1" x14ac:dyDescent="0.3">
      <c r="F989" s="373"/>
      <c r="G989" s="373"/>
      <c r="H989" s="373"/>
      <c r="I989" s="373"/>
      <c r="J989" s="373"/>
      <c r="K989" s="374"/>
      <c r="L989" s="373"/>
      <c r="M989" s="373"/>
      <c r="N989" s="373"/>
      <c r="O989" s="373"/>
      <c r="P989" s="373"/>
      <c r="Q989" s="373"/>
      <c r="R989" s="373"/>
      <c r="S989" s="373"/>
      <c r="T989" s="373"/>
      <c r="U989" s="373"/>
      <c r="V989" s="373"/>
    </row>
    <row r="990" spans="6:22" ht="58.5" customHeight="1" x14ac:dyDescent="0.3">
      <c r="F990" s="373"/>
      <c r="G990" s="373"/>
      <c r="H990" s="373"/>
      <c r="I990" s="373"/>
      <c r="J990" s="373"/>
      <c r="K990" s="374"/>
      <c r="L990" s="373"/>
      <c r="M990" s="373"/>
      <c r="N990" s="373"/>
      <c r="O990" s="373"/>
      <c r="P990" s="373"/>
      <c r="Q990" s="373"/>
      <c r="R990" s="373"/>
      <c r="S990" s="373"/>
      <c r="T990" s="373"/>
      <c r="U990" s="373"/>
      <c r="V990" s="373"/>
    </row>
    <row r="991" spans="6:22" ht="58.5" customHeight="1" x14ac:dyDescent="0.3">
      <c r="F991" s="373"/>
      <c r="G991" s="373"/>
      <c r="H991" s="373"/>
      <c r="I991" s="373"/>
      <c r="J991" s="373"/>
      <c r="K991" s="374"/>
      <c r="L991" s="373"/>
      <c r="M991" s="373"/>
      <c r="N991" s="373"/>
      <c r="O991" s="373"/>
      <c r="P991" s="373"/>
      <c r="Q991" s="373"/>
      <c r="R991" s="373"/>
      <c r="S991" s="373"/>
      <c r="T991" s="373"/>
      <c r="U991" s="373"/>
      <c r="V991" s="373"/>
    </row>
    <row r="992" spans="6:22" ht="58.5" customHeight="1" x14ac:dyDescent="0.3">
      <c r="F992" s="373"/>
      <c r="G992" s="373"/>
      <c r="H992" s="373"/>
      <c r="I992" s="373"/>
      <c r="J992" s="373"/>
      <c r="K992" s="374"/>
      <c r="L992" s="373"/>
      <c r="M992" s="373"/>
      <c r="N992" s="373"/>
      <c r="O992" s="373"/>
      <c r="P992" s="373"/>
      <c r="Q992" s="373"/>
      <c r="R992" s="373"/>
      <c r="S992" s="373"/>
      <c r="T992" s="373"/>
      <c r="U992" s="373"/>
      <c r="V992" s="373"/>
    </row>
    <row r="993" spans="6:22" ht="58.5" customHeight="1" x14ac:dyDescent="0.3">
      <c r="F993" s="373"/>
      <c r="G993" s="373"/>
      <c r="H993" s="373"/>
      <c r="I993" s="373"/>
      <c r="J993" s="373"/>
      <c r="K993" s="374"/>
      <c r="L993" s="373"/>
      <c r="M993" s="373"/>
      <c r="N993" s="373"/>
      <c r="O993" s="373"/>
      <c r="P993" s="373"/>
      <c r="Q993" s="373"/>
      <c r="R993" s="373"/>
      <c r="S993" s="373"/>
      <c r="T993" s="373"/>
      <c r="U993" s="373"/>
      <c r="V993" s="373"/>
    </row>
    <row r="994" spans="6:22" ht="58.5" customHeight="1" x14ac:dyDescent="0.3">
      <c r="F994" s="373"/>
      <c r="G994" s="373"/>
      <c r="H994" s="373"/>
      <c r="I994" s="373"/>
      <c r="J994" s="373"/>
      <c r="K994" s="374"/>
      <c r="L994" s="373"/>
      <c r="M994" s="373"/>
      <c r="N994" s="373"/>
      <c r="O994" s="373"/>
      <c r="P994" s="373"/>
      <c r="Q994" s="373"/>
      <c r="R994" s="373"/>
      <c r="S994" s="373"/>
      <c r="T994" s="373"/>
      <c r="U994" s="373"/>
      <c r="V994" s="373"/>
    </row>
    <row r="995" spans="6:22" ht="58.5" customHeight="1" x14ac:dyDescent="0.3">
      <c r="F995" s="373"/>
      <c r="G995" s="373"/>
      <c r="H995" s="373"/>
      <c r="I995" s="373"/>
      <c r="J995" s="373"/>
      <c r="K995" s="374"/>
      <c r="L995" s="373"/>
      <c r="M995" s="373"/>
      <c r="N995" s="373"/>
      <c r="O995" s="373"/>
      <c r="P995" s="373"/>
      <c r="Q995" s="373"/>
      <c r="R995" s="373"/>
      <c r="S995" s="373"/>
      <c r="T995" s="373"/>
      <c r="U995" s="373"/>
      <c r="V995" s="373"/>
    </row>
    <row r="996" spans="6:22" ht="58.5" customHeight="1" x14ac:dyDescent="0.3">
      <c r="F996" s="373"/>
      <c r="G996" s="373"/>
      <c r="H996" s="373"/>
      <c r="I996" s="373"/>
      <c r="J996" s="373"/>
      <c r="K996" s="374"/>
      <c r="L996" s="373"/>
      <c r="M996" s="373"/>
      <c r="N996" s="373"/>
      <c r="O996" s="373"/>
      <c r="P996" s="373"/>
      <c r="Q996" s="373"/>
      <c r="R996" s="373"/>
      <c r="S996" s="373"/>
      <c r="T996" s="373"/>
      <c r="U996" s="373"/>
      <c r="V996" s="373"/>
    </row>
    <row r="997" spans="6:22" ht="58.5" customHeight="1" x14ac:dyDescent="0.3">
      <c r="F997" s="373"/>
      <c r="G997" s="373"/>
      <c r="H997" s="373"/>
      <c r="I997" s="373"/>
      <c r="J997" s="373"/>
      <c r="K997" s="374"/>
      <c r="L997" s="373"/>
      <c r="M997" s="373"/>
      <c r="N997" s="373"/>
      <c r="O997" s="373"/>
      <c r="P997" s="373"/>
      <c r="Q997" s="373"/>
      <c r="R997" s="373"/>
      <c r="S997" s="373"/>
      <c r="T997" s="373"/>
      <c r="U997" s="373"/>
      <c r="V997" s="373"/>
    </row>
    <row r="998" spans="6:22" ht="58.5" customHeight="1" x14ac:dyDescent="0.3">
      <c r="F998" s="373"/>
      <c r="G998" s="373"/>
      <c r="H998" s="373"/>
      <c r="I998" s="373"/>
      <c r="J998" s="373"/>
      <c r="K998" s="374"/>
      <c r="L998" s="373"/>
      <c r="M998" s="373"/>
      <c r="N998" s="373"/>
      <c r="O998" s="373"/>
      <c r="P998" s="373"/>
      <c r="Q998" s="373"/>
      <c r="R998" s="373"/>
      <c r="S998" s="373"/>
      <c r="T998" s="373"/>
      <c r="U998" s="373"/>
      <c r="V998" s="373"/>
    </row>
    <row r="999" spans="6:22" ht="58.5" customHeight="1" x14ac:dyDescent="0.3">
      <c r="F999" s="373"/>
      <c r="G999" s="373"/>
      <c r="H999" s="373"/>
      <c r="I999" s="373"/>
      <c r="J999" s="373"/>
      <c r="K999" s="374"/>
      <c r="L999" s="373"/>
      <c r="M999" s="373"/>
      <c r="N999" s="373"/>
      <c r="O999" s="373"/>
      <c r="P999" s="373"/>
      <c r="Q999" s="373"/>
      <c r="R999" s="373"/>
      <c r="S999" s="373"/>
      <c r="T999" s="373"/>
      <c r="U999" s="373"/>
      <c r="V999" s="373"/>
    </row>
    <row r="1000" spans="6:22" ht="58.5" customHeight="1" x14ac:dyDescent="0.3">
      <c r="F1000" s="373"/>
      <c r="G1000" s="373"/>
      <c r="H1000" s="373"/>
      <c r="I1000" s="373"/>
      <c r="J1000" s="373"/>
      <c r="K1000" s="374"/>
      <c r="L1000" s="373"/>
      <c r="M1000" s="373"/>
      <c r="N1000" s="373"/>
      <c r="O1000" s="373"/>
      <c r="P1000" s="373"/>
      <c r="Q1000" s="373"/>
      <c r="R1000" s="373"/>
      <c r="S1000" s="373"/>
      <c r="T1000" s="373"/>
      <c r="U1000" s="373"/>
      <c r="V1000" s="373"/>
    </row>
    <row r="1001" spans="6:22" ht="58.5" customHeight="1" x14ac:dyDescent="0.3">
      <c r="F1001" s="373"/>
      <c r="G1001" s="373"/>
      <c r="H1001" s="373"/>
      <c r="I1001" s="373"/>
      <c r="J1001" s="373"/>
      <c r="K1001" s="374"/>
      <c r="L1001" s="373"/>
      <c r="M1001" s="373"/>
      <c r="N1001" s="373"/>
      <c r="O1001" s="373"/>
      <c r="P1001" s="373"/>
      <c r="Q1001" s="373"/>
      <c r="R1001" s="373"/>
      <c r="S1001" s="373"/>
      <c r="T1001" s="373"/>
      <c r="U1001" s="373"/>
      <c r="V1001" s="373"/>
    </row>
    <row r="1002" spans="6:22" ht="58.5" customHeight="1" x14ac:dyDescent="0.3">
      <c r="F1002" s="373"/>
      <c r="G1002" s="373"/>
      <c r="H1002" s="373"/>
      <c r="I1002" s="373"/>
      <c r="J1002" s="373"/>
      <c r="K1002" s="374"/>
      <c r="L1002" s="373"/>
      <c r="M1002" s="373"/>
      <c r="N1002" s="373"/>
      <c r="O1002" s="373"/>
      <c r="P1002" s="373"/>
      <c r="Q1002" s="373"/>
      <c r="R1002" s="373"/>
      <c r="S1002" s="373"/>
      <c r="T1002" s="373"/>
      <c r="U1002" s="373"/>
      <c r="V1002" s="373"/>
    </row>
  </sheetData>
  <autoFilter ref="A1:AB39" xr:uid="{00000000-0009-0000-0000-000000000000}">
    <filterColumn colId="5" showButton="0"/>
    <filterColumn colId="7" showButton="0"/>
    <filterColumn colId="8" showButton="0"/>
    <filterColumn colId="15" showButton="0"/>
    <filterColumn colId="18" showButton="0"/>
    <filterColumn colId="19" showButton="0"/>
    <filterColumn colId="20" showButton="0"/>
  </autoFilter>
  <mergeCells count="16">
    <mergeCell ref="N36:P36"/>
    <mergeCell ref="Z36:AB36"/>
    <mergeCell ref="C35:E35"/>
    <mergeCell ref="Y2:AA2"/>
    <mergeCell ref="AB2:AB3"/>
    <mergeCell ref="F2:J2"/>
    <mergeCell ref="S36:U36"/>
    <mergeCell ref="F1:G1"/>
    <mergeCell ref="H1:J1"/>
    <mergeCell ref="P1:Q1"/>
    <mergeCell ref="S1:V1"/>
    <mergeCell ref="D2:E2"/>
    <mergeCell ref="P2:R2"/>
    <mergeCell ref="K2:N2"/>
    <mergeCell ref="S2:U2"/>
    <mergeCell ref="V2:X2"/>
  </mergeCells>
  <pageMargins left="0.7" right="0.7" top="0.75" bottom="0.75" header="0" footer="0"/>
  <pageSetup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H70"/>
  <sheetViews>
    <sheetView topLeftCell="E62" zoomScale="92" zoomScaleNormal="92" workbookViewId="0">
      <selection activeCell="U66" sqref="U66"/>
    </sheetView>
  </sheetViews>
  <sheetFormatPr baseColWidth="10" defaultRowHeight="49.8" customHeight="1" x14ac:dyDescent="0.3"/>
  <cols>
    <col min="1" max="1" width="25.88671875" style="172" customWidth="1"/>
    <col min="2" max="2" width="26.77734375" style="172" customWidth="1"/>
    <col min="3" max="3" width="21.44140625" style="172" customWidth="1"/>
    <col min="4" max="4" width="24.33203125" style="172" customWidth="1"/>
    <col min="5" max="5" width="11.44140625" style="172"/>
    <col min="6" max="7" width="11.44140625" style="183"/>
    <col min="8" max="10" width="11.44140625" style="172"/>
    <col min="11" max="27" width="11.5546875" style="172"/>
    <col min="28" max="28" width="22.6640625" style="188" customWidth="1"/>
    <col min="29" max="29" width="18.33203125" style="209" customWidth="1"/>
    <col min="30" max="16384" width="11.5546875" style="172"/>
  </cols>
  <sheetData>
    <row r="1" spans="1:29" ht="49.8" customHeight="1" x14ac:dyDescent="0.3">
      <c r="A1" s="175" t="s">
        <v>1</v>
      </c>
      <c r="B1" s="175" t="s">
        <v>2</v>
      </c>
      <c r="C1" s="659" t="s">
        <v>3</v>
      </c>
      <c r="D1" s="659"/>
      <c r="E1" s="661" t="s">
        <v>5</v>
      </c>
      <c r="F1" s="661"/>
      <c r="G1" s="661"/>
      <c r="H1" s="661"/>
      <c r="I1" s="661"/>
      <c r="J1" s="660" t="s">
        <v>6</v>
      </c>
      <c r="K1" s="660"/>
      <c r="L1" s="660"/>
      <c r="M1" s="660"/>
      <c r="N1" s="497"/>
      <c r="O1" s="659" t="s">
        <v>56</v>
      </c>
      <c r="P1" s="659"/>
      <c r="Q1" s="176"/>
      <c r="R1" s="659" t="s">
        <v>57</v>
      </c>
      <c r="S1" s="659"/>
      <c r="T1" s="176"/>
      <c r="U1" s="659" t="s">
        <v>58</v>
      </c>
      <c r="V1" s="659"/>
      <c r="W1" s="176"/>
      <c r="X1" s="659" t="s">
        <v>59</v>
      </c>
      <c r="Y1" s="659"/>
      <c r="Z1" s="176"/>
      <c r="AA1" s="174" t="s">
        <v>60</v>
      </c>
      <c r="AB1" s="726" t="s">
        <v>122</v>
      </c>
      <c r="AC1" s="528" t="s">
        <v>905</v>
      </c>
    </row>
    <row r="2" spans="1:29" ht="49.8" customHeight="1" x14ac:dyDescent="0.3">
      <c r="A2" s="175"/>
      <c r="B2" s="175"/>
      <c r="C2" s="498" t="s">
        <v>7</v>
      </c>
      <c r="D2" s="498" t="s">
        <v>8</v>
      </c>
      <c r="E2" s="496" t="s">
        <v>13</v>
      </c>
      <c r="F2" s="167" t="s">
        <v>15</v>
      </c>
      <c r="G2" s="167" t="s">
        <v>17</v>
      </c>
      <c r="H2" s="496" t="s">
        <v>18</v>
      </c>
      <c r="I2" s="168" t="s">
        <v>55</v>
      </c>
      <c r="J2" s="169" t="s">
        <v>13</v>
      </c>
      <c r="K2" s="497" t="s">
        <v>15</v>
      </c>
      <c r="L2" s="497" t="s">
        <v>17</v>
      </c>
      <c r="M2" s="497" t="s">
        <v>18</v>
      </c>
      <c r="N2" s="497" t="s">
        <v>61</v>
      </c>
      <c r="O2" s="498" t="s">
        <v>9</v>
      </c>
      <c r="P2" s="498" t="s">
        <v>10</v>
      </c>
      <c r="Q2" s="498" t="s">
        <v>11</v>
      </c>
      <c r="R2" s="498" t="s">
        <v>9</v>
      </c>
      <c r="S2" s="498" t="s">
        <v>10</v>
      </c>
      <c r="T2" s="498" t="s">
        <v>11</v>
      </c>
      <c r="U2" s="498" t="s">
        <v>9</v>
      </c>
      <c r="V2" s="498" t="s">
        <v>10</v>
      </c>
      <c r="W2" s="498" t="s">
        <v>11</v>
      </c>
      <c r="X2" s="498" t="s">
        <v>9</v>
      </c>
      <c r="Y2" s="498" t="s">
        <v>10</v>
      </c>
      <c r="Z2" s="498" t="s">
        <v>11</v>
      </c>
      <c r="AA2" s="174"/>
      <c r="AB2" s="726"/>
      <c r="AC2" s="161"/>
    </row>
    <row r="3" spans="1:29" ht="55.8" customHeight="1" x14ac:dyDescent="0.3">
      <c r="A3" s="495" t="s">
        <v>374</v>
      </c>
      <c r="B3" s="495" t="s">
        <v>375</v>
      </c>
      <c r="C3" s="495" t="s">
        <v>376</v>
      </c>
      <c r="D3" s="495" t="s">
        <v>444</v>
      </c>
      <c r="E3" s="495">
        <v>500</v>
      </c>
      <c r="F3" s="171">
        <v>2000</v>
      </c>
      <c r="G3" s="170">
        <v>2000</v>
      </c>
      <c r="H3" s="495">
        <v>1500</v>
      </c>
      <c r="I3" s="495">
        <v>6000</v>
      </c>
      <c r="J3" s="495">
        <v>76</v>
      </c>
      <c r="K3" s="495">
        <v>10687</v>
      </c>
      <c r="L3" s="495">
        <v>2527</v>
      </c>
      <c r="M3" s="495"/>
      <c r="N3" s="495">
        <f t="shared" ref="N3:N10" si="0">J3+K3+L3+M3</f>
        <v>13290</v>
      </c>
      <c r="O3" s="495">
        <v>76</v>
      </c>
      <c r="P3" s="495">
        <v>500</v>
      </c>
      <c r="Q3" s="185">
        <f>O3/P3*25</f>
        <v>3.8</v>
      </c>
      <c r="R3" s="495">
        <v>10687</v>
      </c>
      <c r="S3" s="495">
        <v>2000</v>
      </c>
      <c r="T3" s="178">
        <f>(R3/S3)*25</f>
        <v>133.58750000000001</v>
      </c>
      <c r="U3" s="495">
        <v>2527</v>
      </c>
      <c r="V3" s="495">
        <v>2000</v>
      </c>
      <c r="W3" s="178">
        <f t="shared" ref="W3:W10" si="1">(U3/V3)*25</f>
        <v>31.587500000000002</v>
      </c>
      <c r="X3" s="495"/>
      <c r="Y3" s="495"/>
      <c r="Z3" s="495"/>
      <c r="AA3" s="178">
        <f>Z3+W3+T3+Q3</f>
        <v>168.97500000000002</v>
      </c>
      <c r="AB3" s="727" t="s">
        <v>480</v>
      </c>
      <c r="AC3" s="254" t="s">
        <v>917</v>
      </c>
    </row>
    <row r="4" spans="1:29" ht="49.8" customHeight="1" x14ac:dyDescent="0.3">
      <c r="A4" s="495" t="s">
        <v>374</v>
      </c>
      <c r="B4" s="495" t="s">
        <v>377</v>
      </c>
      <c r="C4" s="495" t="s">
        <v>378</v>
      </c>
      <c r="D4" s="495" t="s">
        <v>445</v>
      </c>
      <c r="E4" s="495">
        <v>11</v>
      </c>
      <c r="F4" s="171">
        <v>80</v>
      </c>
      <c r="G4" s="170">
        <v>8</v>
      </c>
      <c r="H4" s="495">
        <v>0</v>
      </c>
      <c r="I4" s="495">
        <v>100</v>
      </c>
      <c r="J4" s="495">
        <v>11</v>
      </c>
      <c r="K4" s="495">
        <v>72</v>
      </c>
      <c r="L4" s="495">
        <v>38</v>
      </c>
      <c r="M4" s="495"/>
      <c r="N4" s="495">
        <f t="shared" si="0"/>
        <v>121</v>
      </c>
      <c r="O4" s="495">
        <v>11</v>
      </c>
      <c r="P4" s="495">
        <v>11</v>
      </c>
      <c r="Q4" s="164">
        <f>O4/P4*25</f>
        <v>25</v>
      </c>
      <c r="R4" s="495">
        <v>72</v>
      </c>
      <c r="S4" s="495">
        <v>80</v>
      </c>
      <c r="T4" s="178">
        <f>(R4/S4)*25</f>
        <v>22.5</v>
      </c>
      <c r="U4" s="495">
        <v>38</v>
      </c>
      <c r="V4" s="495">
        <v>8</v>
      </c>
      <c r="W4" s="178">
        <f t="shared" si="1"/>
        <v>118.75</v>
      </c>
      <c r="X4" s="495"/>
      <c r="Y4" s="495"/>
      <c r="Z4" s="495"/>
      <c r="AA4" s="178">
        <f t="shared" ref="AA4:AA11" si="2">Z4+W4+T4+Q4</f>
        <v>166.25</v>
      </c>
      <c r="AB4" s="495" t="s">
        <v>481</v>
      </c>
      <c r="AC4" s="254" t="s">
        <v>918</v>
      </c>
    </row>
    <row r="5" spans="1:29" ht="92.4" customHeight="1" x14ac:dyDescent="0.3">
      <c r="A5" s="495" t="s">
        <v>374</v>
      </c>
      <c r="B5" s="495" t="s">
        <v>379</v>
      </c>
      <c r="C5" s="495" t="s">
        <v>380</v>
      </c>
      <c r="D5" s="495" t="s">
        <v>446</v>
      </c>
      <c r="E5" s="495">
        <v>0</v>
      </c>
      <c r="F5" s="171">
        <v>12</v>
      </c>
      <c r="G5" s="170">
        <v>12</v>
      </c>
      <c r="H5" s="495">
        <v>11</v>
      </c>
      <c r="I5" s="495">
        <v>35</v>
      </c>
      <c r="J5" s="495">
        <v>0</v>
      </c>
      <c r="K5" s="495">
        <v>12</v>
      </c>
      <c r="L5" s="495">
        <v>23</v>
      </c>
      <c r="M5" s="495"/>
      <c r="N5" s="495">
        <f t="shared" si="0"/>
        <v>35</v>
      </c>
      <c r="O5" s="495">
        <v>0</v>
      </c>
      <c r="P5" s="495">
        <v>0</v>
      </c>
      <c r="Q5" s="164">
        <v>25</v>
      </c>
      <c r="R5" s="495">
        <v>12</v>
      </c>
      <c r="S5" s="495">
        <v>12</v>
      </c>
      <c r="T5" s="164">
        <v>25</v>
      </c>
      <c r="U5" s="495">
        <v>23</v>
      </c>
      <c r="V5" s="495">
        <v>12</v>
      </c>
      <c r="W5" s="179">
        <f t="shared" si="1"/>
        <v>47.916666666666671</v>
      </c>
      <c r="X5" s="495"/>
      <c r="Y5" s="495"/>
      <c r="Z5" s="495"/>
      <c r="AA5" s="178">
        <f t="shared" si="2"/>
        <v>97.916666666666671</v>
      </c>
      <c r="AB5" s="727" t="s">
        <v>482</v>
      </c>
      <c r="AC5" s="254" t="s">
        <v>919</v>
      </c>
    </row>
    <row r="6" spans="1:29" ht="49.8" customHeight="1" x14ac:dyDescent="0.3">
      <c r="A6" s="495" t="s">
        <v>374</v>
      </c>
      <c r="B6" s="495" t="s">
        <v>381</v>
      </c>
      <c r="C6" s="495" t="s">
        <v>382</v>
      </c>
      <c r="D6" s="495" t="s">
        <v>447</v>
      </c>
      <c r="E6" s="495">
        <v>5000</v>
      </c>
      <c r="F6" s="171">
        <v>5000</v>
      </c>
      <c r="G6" s="170">
        <v>5000</v>
      </c>
      <c r="H6" s="495">
        <v>5000</v>
      </c>
      <c r="I6" s="495">
        <v>20000</v>
      </c>
      <c r="J6" s="495">
        <v>5926</v>
      </c>
      <c r="K6" s="495">
        <v>0</v>
      </c>
      <c r="L6" s="495">
        <v>13644</v>
      </c>
      <c r="M6" s="495"/>
      <c r="N6" s="495">
        <f t="shared" si="0"/>
        <v>19570</v>
      </c>
      <c r="O6" s="495">
        <v>5926</v>
      </c>
      <c r="P6" s="495">
        <v>5000</v>
      </c>
      <c r="Q6" s="178">
        <f t="shared" ref="Q6:Q51" si="3">O6/P6*25</f>
        <v>29.630000000000003</v>
      </c>
      <c r="R6" s="495">
        <v>0</v>
      </c>
      <c r="S6" s="495">
        <v>5000</v>
      </c>
      <c r="T6" s="162">
        <v>0</v>
      </c>
      <c r="U6" s="495">
        <v>13644</v>
      </c>
      <c r="V6" s="495">
        <v>5000</v>
      </c>
      <c r="W6" s="178">
        <f t="shared" si="1"/>
        <v>68.22</v>
      </c>
      <c r="X6" s="495"/>
      <c r="Y6" s="495"/>
      <c r="Z6" s="495"/>
      <c r="AA6" s="178">
        <f t="shared" si="2"/>
        <v>97.85</v>
      </c>
      <c r="AB6" s="727" t="s">
        <v>480</v>
      </c>
      <c r="AC6" s="254" t="s">
        <v>920</v>
      </c>
    </row>
    <row r="7" spans="1:29" ht="49.8" customHeight="1" x14ac:dyDescent="0.3">
      <c r="A7" s="495" t="s">
        <v>374</v>
      </c>
      <c r="B7" s="495" t="s">
        <v>383</v>
      </c>
      <c r="C7" s="495" t="s">
        <v>384</v>
      </c>
      <c r="D7" s="495" t="s">
        <v>448</v>
      </c>
      <c r="E7" s="170">
        <v>2000</v>
      </c>
      <c r="F7" s="170">
        <v>3500</v>
      </c>
      <c r="G7" s="170">
        <v>3500</v>
      </c>
      <c r="H7" s="170">
        <v>3000</v>
      </c>
      <c r="I7" s="170">
        <v>12000</v>
      </c>
      <c r="J7" s="170">
        <v>4386</v>
      </c>
      <c r="K7" s="495">
        <v>7281</v>
      </c>
      <c r="L7" s="495">
        <v>288</v>
      </c>
      <c r="M7" s="495"/>
      <c r="N7" s="495">
        <f t="shared" si="0"/>
        <v>11955</v>
      </c>
      <c r="O7" s="170">
        <v>4386</v>
      </c>
      <c r="P7" s="170">
        <v>2000</v>
      </c>
      <c r="Q7" s="178">
        <f t="shared" si="3"/>
        <v>54.825000000000003</v>
      </c>
      <c r="R7" s="495">
        <v>7281</v>
      </c>
      <c r="S7" s="495">
        <v>3500</v>
      </c>
      <c r="T7" s="178">
        <f>(R7/S7)*25</f>
        <v>52.007142857142853</v>
      </c>
      <c r="U7" s="495">
        <v>288</v>
      </c>
      <c r="V7" s="495">
        <v>3500</v>
      </c>
      <c r="W7" s="185">
        <f t="shared" si="1"/>
        <v>2.0571428571428569</v>
      </c>
      <c r="X7" s="495"/>
      <c r="Y7" s="495"/>
      <c r="Z7" s="495"/>
      <c r="AA7" s="178">
        <f t="shared" si="2"/>
        <v>108.88928571428571</v>
      </c>
      <c r="AB7" s="727" t="s">
        <v>481</v>
      </c>
      <c r="AC7" s="254" t="s">
        <v>481</v>
      </c>
    </row>
    <row r="8" spans="1:29" ht="68.400000000000006" customHeight="1" x14ac:dyDescent="0.3">
      <c r="A8" s="495" t="s">
        <v>374</v>
      </c>
      <c r="B8" s="495" t="s">
        <v>811</v>
      </c>
      <c r="C8" s="495" t="s">
        <v>812</v>
      </c>
      <c r="D8" s="495" t="s">
        <v>813</v>
      </c>
      <c r="E8" s="495">
        <v>7</v>
      </c>
      <c r="F8" s="171">
        <v>10</v>
      </c>
      <c r="G8" s="170">
        <v>12</v>
      </c>
      <c r="H8" s="495">
        <v>10</v>
      </c>
      <c r="I8" s="495">
        <v>39</v>
      </c>
      <c r="J8" s="495">
        <v>7</v>
      </c>
      <c r="K8" s="495">
        <v>10</v>
      </c>
      <c r="L8" s="495">
        <v>13</v>
      </c>
      <c r="M8" s="495"/>
      <c r="N8" s="495">
        <f t="shared" si="0"/>
        <v>30</v>
      </c>
      <c r="O8" s="495">
        <v>7</v>
      </c>
      <c r="P8" s="495">
        <v>7</v>
      </c>
      <c r="Q8" s="164">
        <f t="shared" si="3"/>
        <v>25</v>
      </c>
      <c r="R8" s="495">
        <v>10</v>
      </c>
      <c r="S8" s="495">
        <v>10</v>
      </c>
      <c r="T8" s="164">
        <v>25</v>
      </c>
      <c r="U8" s="495">
        <v>13</v>
      </c>
      <c r="V8" s="495">
        <v>12</v>
      </c>
      <c r="W8" s="178">
        <f t="shared" si="1"/>
        <v>27.083333333333332</v>
      </c>
      <c r="X8" s="495"/>
      <c r="Y8" s="495"/>
      <c r="Z8" s="495"/>
      <c r="AA8" s="180">
        <f t="shared" si="2"/>
        <v>77.083333333333329</v>
      </c>
      <c r="AB8" s="727" t="s">
        <v>483</v>
      </c>
      <c r="AC8" s="254" t="s">
        <v>921</v>
      </c>
    </row>
    <row r="9" spans="1:29" ht="77.400000000000006" customHeight="1" x14ac:dyDescent="0.3">
      <c r="A9" s="495" t="s">
        <v>374</v>
      </c>
      <c r="B9" s="495" t="s">
        <v>814</v>
      </c>
      <c r="C9" s="495" t="s">
        <v>385</v>
      </c>
      <c r="D9" s="495" t="s">
        <v>449</v>
      </c>
      <c r="E9" s="495">
        <v>0</v>
      </c>
      <c r="F9" s="170">
        <v>9</v>
      </c>
      <c r="G9" s="170">
        <v>0</v>
      </c>
      <c r="H9" s="495">
        <v>0</v>
      </c>
      <c r="I9" s="495">
        <v>9</v>
      </c>
      <c r="J9" s="495">
        <v>0</v>
      </c>
      <c r="K9" s="495">
        <v>0</v>
      </c>
      <c r="L9" s="495">
        <v>11</v>
      </c>
      <c r="M9" s="495"/>
      <c r="N9" s="495">
        <f t="shared" si="0"/>
        <v>11</v>
      </c>
      <c r="O9" s="495">
        <v>0</v>
      </c>
      <c r="P9" s="495">
        <v>0</v>
      </c>
      <c r="Q9" s="164">
        <v>25</v>
      </c>
      <c r="R9" s="495">
        <v>0</v>
      </c>
      <c r="S9" s="495">
        <v>0</v>
      </c>
      <c r="T9" s="164">
        <v>25</v>
      </c>
      <c r="U9" s="495">
        <v>11</v>
      </c>
      <c r="V9" s="495">
        <v>9</v>
      </c>
      <c r="W9" s="178">
        <f t="shared" si="1"/>
        <v>30.555555555555557</v>
      </c>
      <c r="X9" s="495"/>
      <c r="Y9" s="495"/>
      <c r="Z9" s="495"/>
      <c r="AA9" s="180">
        <f t="shared" si="2"/>
        <v>80.555555555555557</v>
      </c>
      <c r="AB9" s="727" t="s">
        <v>484</v>
      </c>
      <c r="AC9" s="254" t="s">
        <v>922</v>
      </c>
    </row>
    <row r="10" spans="1:29" ht="64.2" customHeight="1" x14ac:dyDescent="0.3">
      <c r="A10" s="495" t="s">
        <v>374</v>
      </c>
      <c r="B10" s="495" t="s">
        <v>815</v>
      </c>
      <c r="C10" s="495" t="s">
        <v>386</v>
      </c>
      <c r="D10" s="495" t="s">
        <v>450</v>
      </c>
      <c r="E10" s="181">
        <v>377</v>
      </c>
      <c r="F10" s="170">
        <v>464</v>
      </c>
      <c r="G10" s="170"/>
      <c r="H10" s="495"/>
      <c r="I10" s="181">
        <v>647</v>
      </c>
      <c r="J10" s="181">
        <v>219</v>
      </c>
      <c r="K10" s="495">
        <v>315</v>
      </c>
      <c r="L10" s="495">
        <v>374</v>
      </c>
      <c r="M10" s="495"/>
      <c r="N10" s="170">
        <f t="shared" si="0"/>
        <v>908</v>
      </c>
      <c r="O10" s="181">
        <v>219</v>
      </c>
      <c r="P10" s="181">
        <v>270</v>
      </c>
      <c r="Q10" s="180">
        <f t="shared" si="3"/>
        <v>20.277777777777779</v>
      </c>
      <c r="R10" s="495">
        <v>315</v>
      </c>
      <c r="S10" s="495">
        <v>377</v>
      </c>
      <c r="T10" s="180">
        <f>(R10/S10)*25</f>
        <v>20.888594164456233</v>
      </c>
      <c r="U10" s="495">
        <v>374</v>
      </c>
      <c r="V10" s="495">
        <v>464</v>
      </c>
      <c r="W10" s="180">
        <f t="shared" si="1"/>
        <v>20.150862068965516</v>
      </c>
      <c r="X10" s="495"/>
      <c r="Y10" s="495"/>
      <c r="Z10" s="495"/>
      <c r="AA10" s="177">
        <f t="shared" si="2"/>
        <v>61.317234011199524</v>
      </c>
      <c r="AB10" s="727" t="s">
        <v>485</v>
      </c>
      <c r="AC10" s="254" t="s">
        <v>923</v>
      </c>
    </row>
    <row r="11" spans="1:29" ht="49.8" customHeight="1" x14ac:dyDescent="0.3">
      <c r="A11" s="495" t="s">
        <v>374</v>
      </c>
      <c r="B11" s="495" t="s">
        <v>387</v>
      </c>
      <c r="C11" s="495" t="s">
        <v>388</v>
      </c>
      <c r="D11" s="495" t="s">
        <v>450</v>
      </c>
      <c r="E11" s="495">
        <v>0</v>
      </c>
      <c r="F11" s="171">
        <v>0</v>
      </c>
      <c r="G11" s="170">
        <v>0</v>
      </c>
      <c r="H11" s="495">
        <v>0</v>
      </c>
      <c r="I11" s="182">
        <v>0</v>
      </c>
      <c r="J11" s="495">
        <v>0</v>
      </c>
      <c r="K11" s="495">
        <v>0</v>
      </c>
      <c r="L11" s="495">
        <v>0</v>
      </c>
      <c r="M11" s="495"/>
      <c r="N11" s="495">
        <v>0</v>
      </c>
      <c r="O11" s="495">
        <v>0</v>
      </c>
      <c r="P11" s="495">
        <v>0</v>
      </c>
      <c r="Q11" s="164">
        <v>25</v>
      </c>
      <c r="R11" s="495">
        <v>0</v>
      </c>
      <c r="S11" s="495">
        <v>0</v>
      </c>
      <c r="T11" s="164">
        <v>25</v>
      </c>
      <c r="U11" s="495">
        <v>0</v>
      </c>
      <c r="V11" s="495">
        <v>0</v>
      </c>
      <c r="W11" s="164">
        <v>25</v>
      </c>
      <c r="X11" s="495"/>
      <c r="Y11" s="495"/>
      <c r="Z11" s="495"/>
      <c r="AA11" s="163">
        <f t="shared" si="2"/>
        <v>75</v>
      </c>
      <c r="AB11" s="727" t="s">
        <v>486</v>
      </c>
      <c r="AC11" s="254" t="s">
        <v>486</v>
      </c>
    </row>
    <row r="12" spans="1:29" ht="49.8" customHeight="1" x14ac:dyDescent="0.3">
      <c r="A12" s="495" t="s">
        <v>868</v>
      </c>
      <c r="B12" s="495" t="s">
        <v>816</v>
      </c>
      <c r="C12" s="495" t="s">
        <v>819</v>
      </c>
      <c r="D12" s="495" t="s">
        <v>820</v>
      </c>
      <c r="E12" s="495">
        <v>0</v>
      </c>
      <c r="F12" s="171">
        <v>80</v>
      </c>
      <c r="G12" s="170">
        <v>100</v>
      </c>
      <c r="H12" s="495">
        <v>60</v>
      </c>
      <c r="I12" s="181">
        <f>F12+G12+H12</f>
        <v>240</v>
      </c>
      <c r="J12" s="495">
        <v>0</v>
      </c>
      <c r="K12" s="495">
        <v>12</v>
      </c>
      <c r="L12" s="495">
        <v>176</v>
      </c>
      <c r="M12" s="495"/>
      <c r="N12" s="495">
        <f>K12+L12</f>
        <v>188</v>
      </c>
      <c r="O12" s="495">
        <v>0</v>
      </c>
      <c r="P12" s="495">
        <v>0</v>
      </c>
      <c r="Q12" s="164">
        <v>25</v>
      </c>
      <c r="R12" s="495">
        <v>12</v>
      </c>
      <c r="S12" s="495">
        <v>80</v>
      </c>
      <c r="T12" s="185">
        <f>(R12/S12)*25</f>
        <v>3.75</v>
      </c>
      <c r="U12" s="495">
        <v>176</v>
      </c>
      <c r="V12" s="495">
        <v>100</v>
      </c>
      <c r="W12" s="164">
        <f>(U12/V12)*25</f>
        <v>44</v>
      </c>
      <c r="X12" s="495"/>
      <c r="Y12" s="495"/>
      <c r="Z12" s="495"/>
      <c r="AA12" s="180">
        <f>Q12+T12+W12+Z12</f>
        <v>72.75</v>
      </c>
      <c r="AB12" s="727"/>
      <c r="AC12" s="254" t="s">
        <v>924</v>
      </c>
    </row>
    <row r="13" spans="1:29" ht="49.8" customHeight="1" x14ac:dyDescent="0.3">
      <c r="A13" s="495" t="s">
        <v>868</v>
      </c>
      <c r="B13" s="495" t="s">
        <v>817</v>
      </c>
      <c r="C13" s="495" t="s">
        <v>821</v>
      </c>
      <c r="D13" s="495" t="s">
        <v>822</v>
      </c>
      <c r="E13" s="495">
        <v>1</v>
      </c>
      <c r="F13" s="171">
        <v>1</v>
      </c>
      <c r="G13" s="170">
        <v>1</v>
      </c>
      <c r="H13" s="495">
        <v>1</v>
      </c>
      <c r="I13" s="184">
        <f>E13+F13+G13+H13</f>
        <v>4</v>
      </c>
      <c r="J13" s="495">
        <v>1</v>
      </c>
      <c r="K13" s="495">
        <v>1</v>
      </c>
      <c r="L13" s="495">
        <v>1</v>
      </c>
      <c r="M13" s="495"/>
      <c r="N13" s="495">
        <v>3</v>
      </c>
      <c r="O13" s="495">
        <v>1</v>
      </c>
      <c r="P13" s="495">
        <v>1</v>
      </c>
      <c r="Q13" s="164">
        <v>25</v>
      </c>
      <c r="R13" s="495">
        <v>1</v>
      </c>
      <c r="S13" s="495">
        <v>1</v>
      </c>
      <c r="T13" s="164">
        <v>25</v>
      </c>
      <c r="U13" s="495">
        <v>1</v>
      </c>
      <c r="V13" s="495">
        <v>1</v>
      </c>
      <c r="W13" s="164">
        <f t="shared" ref="W13:W54" si="4">(U13/V13)*25</f>
        <v>25</v>
      </c>
      <c r="X13" s="495"/>
      <c r="Y13" s="495"/>
      <c r="Z13" s="495"/>
      <c r="AA13" s="163">
        <f>Q13+T13+W13+Z13</f>
        <v>75</v>
      </c>
      <c r="AB13" s="727"/>
      <c r="AC13" s="254" t="s">
        <v>920</v>
      </c>
    </row>
    <row r="14" spans="1:29" ht="49.8" customHeight="1" x14ac:dyDescent="0.3">
      <c r="A14" s="495" t="s">
        <v>868</v>
      </c>
      <c r="B14" s="495" t="s">
        <v>818</v>
      </c>
      <c r="C14" s="495" t="s">
        <v>823</v>
      </c>
      <c r="D14" s="495" t="s">
        <v>824</v>
      </c>
      <c r="E14" s="495">
        <v>500</v>
      </c>
      <c r="F14" s="171">
        <v>1000</v>
      </c>
      <c r="G14" s="170">
        <v>7000</v>
      </c>
      <c r="H14" s="495">
        <v>6500</v>
      </c>
      <c r="I14" s="181">
        <f>E14+F14+G14+H14</f>
        <v>15000</v>
      </c>
      <c r="J14" s="495">
        <v>394</v>
      </c>
      <c r="K14" s="495">
        <v>1036</v>
      </c>
      <c r="L14" s="495">
        <v>6021</v>
      </c>
      <c r="M14" s="495"/>
      <c r="N14" s="495">
        <f>J14+K14+L14+M14</f>
        <v>7451</v>
      </c>
      <c r="O14" s="495">
        <v>394</v>
      </c>
      <c r="P14" s="495">
        <v>500</v>
      </c>
      <c r="Q14" s="180">
        <f>(O14/P14)*25</f>
        <v>19.7</v>
      </c>
      <c r="R14" s="495">
        <v>1036</v>
      </c>
      <c r="S14" s="495">
        <v>1000</v>
      </c>
      <c r="T14" s="178">
        <f>(R14/S14)*25</f>
        <v>25.900000000000002</v>
      </c>
      <c r="U14" s="495">
        <v>6021</v>
      </c>
      <c r="V14" s="495">
        <v>7000</v>
      </c>
      <c r="W14" s="178">
        <f t="shared" si="4"/>
        <v>21.503571428571426</v>
      </c>
      <c r="X14" s="495"/>
      <c r="Y14" s="495"/>
      <c r="Z14" s="495"/>
      <c r="AA14" s="177">
        <f t="shared" ref="AA14:AA54" si="5">Q14+T14+W14+Z14</f>
        <v>67.103571428571428</v>
      </c>
      <c r="AB14" s="727"/>
      <c r="AC14" s="254" t="s">
        <v>925</v>
      </c>
    </row>
    <row r="15" spans="1:29" ht="49.8" customHeight="1" x14ac:dyDescent="0.3">
      <c r="A15" s="495" t="s">
        <v>389</v>
      </c>
      <c r="B15" s="495" t="s">
        <v>825</v>
      </c>
      <c r="C15" s="495" t="s">
        <v>451</v>
      </c>
      <c r="D15" s="495" t="s">
        <v>452</v>
      </c>
      <c r="E15" s="495">
        <v>1410</v>
      </c>
      <c r="F15" s="495">
        <v>1410</v>
      </c>
      <c r="G15" s="495">
        <v>1409</v>
      </c>
      <c r="H15" s="495">
        <v>1409</v>
      </c>
      <c r="I15" s="495">
        <f>E15+F15+G15+H15</f>
        <v>5638</v>
      </c>
      <c r="J15" s="495">
        <v>1142</v>
      </c>
      <c r="K15" s="495">
        <v>1074</v>
      </c>
      <c r="L15" s="495">
        <v>776</v>
      </c>
      <c r="M15" s="495"/>
      <c r="N15" s="495">
        <f>J15+K15+L15+M15</f>
        <v>2992</v>
      </c>
      <c r="O15" s="495">
        <v>1142</v>
      </c>
      <c r="P15" s="495">
        <v>1410</v>
      </c>
      <c r="Q15" s="177">
        <f t="shared" si="3"/>
        <v>20.24822695035461</v>
      </c>
      <c r="R15" s="495">
        <v>1074</v>
      </c>
      <c r="S15" s="495">
        <v>1410</v>
      </c>
      <c r="T15" s="177">
        <f>(R15/S15)*25</f>
        <v>19.042553191489361</v>
      </c>
      <c r="U15" s="495">
        <v>776</v>
      </c>
      <c r="V15" s="495">
        <v>1409</v>
      </c>
      <c r="W15" s="177">
        <f t="shared" si="4"/>
        <v>13.76863023420866</v>
      </c>
      <c r="X15" s="495"/>
      <c r="Y15" s="495"/>
      <c r="Z15" s="495"/>
      <c r="AA15" s="177">
        <f t="shared" si="5"/>
        <v>53.059410376052625</v>
      </c>
      <c r="AB15" s="495" t="s">
        <v>487</v>
      </c>
      <c r="AC15" s="161" t="s">
        <v>944</v>
      </c>
    </row>
    <row r="16" spans="1:29" ht="49.8" customHeight="1" x14ac:dyDescent="0.3">
      <c r="A16" s="495" t="s">
        <v>389</v>
      </c>
      <c r="B16" s="495" t="s">
        <v>390</v>
      </c>
      <c r="C16" s="495" t="s">
        <v>391</v>
      </c>
      <c r="D16" s="495" t="s">
        <v>453</v>
      </c>
      <c r="E16" s="495">
        <v>0</v>
      </c>
      <c r="F16" s="170">
        <v>0</v>
      </c>
      <c r="G16" s="170">
        <v>1</v>
      </c>
      <c r="H16" s="495">
        <v>2</v>
      </c>
      <c r="I16" s="495">
        <v>3</v>
      </c>
      <c r="J16" s="495">
        <v>0</v>
      </c>
      <c r="K16" s="495">
        <v>0</v>
      </c>
      <c r="L16" s="495">
        <v>1</v>
      </c>
      <c r="M16" s="495"/>
      <c r="N16" s="495">
        <v>1</v>
      </c>
      <c r="O16" s="495">
        <v>0</v>
      </c>
      <c r="P16" s="495">
        <v>0</v>
      </c>
      <c r="Q16" s="164">
        <v>25</v>
      </c>
      <c r="R16" s="495">
        <v>0</v>
      </c>
      <c r="S16" s="495">
        <v>0</v>
      </c>
      <c r="T16" s="164">
        <v>25</v>
      </c>
      <c r="U16" s="495">
        <v>1</v>
      </c>
      <c r="V16" s="495">
        <v>1</v>
      </c>
      <c r="W16" s="164">
        <f t="shared" si="4"/>
        <v>25</v>
      </c>
      <c r="X16" s="495"/>
      <c r="Y16" s="495"/>
      <c r="Z16" s="495"/>
      <c r="AA16" s="163">
        <f t="shared" si="5"/>
        <v>75</v>
      </c>
      <c r="AB16" s="495" t="s">
        <v>488</v>
      </c>
      <c r="AC16" s="161" t="s">
        <v>945</v>
      </c>
    </row>
    <row r="17" spans="1:29" ht="64.8" customHeight="1" x14ac:dyDescent="0.3">
      <c r="A17" s="495" t="s">
        <v>389</v>
      </c>
      <c r="B17" s="495" t="s">
        <v>392</v>
      </c>
      <c r="C17" s="495" t="s">
        <v>393</v>
      </c>
      <c r="D17" s="495" t="s">
        <v>454</v>
      </c>
      <c r="E17" s="495">
        <v>0</v>
      </c>
      <c r="F17" s="170">
        <v>64</v>
      </c>
      <c r="G17" s="170">
        <v>68</v>
      </c>
      <c r="H17" s="495">
        <v>60</v>
      </c>
      <c r="I17" s="495">
        <v>192</v>
      </c>
      <c r="J17" s="495">
        <v>0</v>
      </c>
      <c r="K17" s="495">
        <v>0</v>
      </c>
      <c r="L17" s="495">
        <v>21</v>
      </c>
      <c r="M17" s="495"/>
      <c r="N17" s="495">
        <v>21</v>
      </c>
      <c r="O17" s="495">
        <v>0</v>
      </c>
      <c r="P17" s="495">
        <v>0</v>
      </c>
      <c r="Q17" s="164">
        <v>25</v>
      </c>
      <c r="R17" s="495">
        <v>0</v>
      </c>
      <c r="S17" s="495">
        <v>64</v>
      </c>
      <c r="T17" s="162">
        <v>0</v>
      </c>
      <c r="U17" s="495">
        <v>21</v>
      </c>
      <c r="V17" s="495">
        <v>68</v>
      </c>
      <c r="W17" s="186">
        <f t="shared" si="4"/>
        <v>7.7205882352941178</v>
      </c>
      <c r="X17" s="495"/>
      <c r="Y17" s="495"/>
      <c r="Z17" s="495"/>
      <c r="AA17" s="177">
        <f t="shared" si="5"/>
        <v>32.720588235294116</v>
      </c>
      <c r="AB17" s="495" t="s">
        <v>489</v>
      </c>
      <c r="AC17" s="161" t="s">
        <v>946</v>
      </c>
    </row>
    <row r="18" spans="1:29" ht="85.8" customHeight="1" x14ac:dyDescent="0.3">
      <c r="A18" s="495" t="s">
        <v>389</v>
      </c>
      <c r="B18" s="495" t="s">
        <v>394</v>
      </c>
      <c r="C18" s="495" t="s">
        <v>395</v>
      </c>
      <c r="D18" s="495" t="s">
        <v>455</v>
      </c>
      <c r="E18" s="495">
        <v>0</v>
      </c>
      <c r="F18" s="170">
        <v>20</v>
      </c>
      <c r="G18" s="170">
        <v>20</v>
      </c>
      <c r="H18" s="495">
        <v>18</v>
      </c>
      <c r="I18" s="495">
        <v>58</v>
      </c>
      <c r="J18" s="495">
        <v>0</v>
      </c>
      <c r="K18" s="495">
        <v>37</v>
      </c>
      <c r="L18" s="495">
        <v>8</v>
      </c>
      <c r="M18" s="495"/>
      <c r="N18" s="495">
        <f>K18+L18+M18+J18</f>
        <v>45</v>
      </c>
      <c r="O18" s="495">
        <v>0</v>
      </c>
      <c r="P18" s="495">
        <v>0</v>
      </c>
      <c r="Q18" s="164">
        <v>25</v>
      </c>
      <c r="R18" s="495">
        <v>37</v>
      </c>
      <c r="S18" s="495">
        <v>20</v>
      </c>
      <c r="T18" s="178">
        <f>(R18/S18)*25</f>
        <v>46.25</v>
      </c>
      <c r="U18" s="495">
        <v>8</v>
      </c>
      <c r="V18" s="495">
        <v>20</v>
      </c>
      <c r="W18" s="162">
        <f t="shared" si="4"/>
        <v>10</v>
      </c>
      <c r="X18" s="495"/>
      <c r="Y18" s="495"/>
      <c r="Z18" s="495"/>
      <c r="AA18" s="180">
        <f t="shared" si="5"/>
        <v>81.25</v>
      </c>
      <c r="AB18" s="495" t="s">
        <v>490</v>
      </c>
      <c r="AC18" s="161" t="s">
        <v>947</v>
      </c>
    </row>
    <row r="19" spans="1:29" ht="62.4" customHeight="1" x14ac:dyDescent="0.3">
      <c r="A19" s="495" t="s">
        <v>389</v>
      </c>
      <c r="B19" s="161" t="s">
        <v>396</v>
      </c>
      <c r="C19" s="495" t="s">
        <v>397</v>
      </c>
      <c r="D19" s="495" t="s">
        <v>456</v>
      </c>
      <c r="E19" s="495">
        <v>0</v>
      </c>
      <c r="F19" s="170">
        <v>5</v>
      </c>
      <c r="G19" s="170">
        <v>4</v>
      </c>
      <c r="H19" s="495">
        <v>4</v>
      </c>
      <c r="I19" s="495">
        <v>13</v>
      </c>
      <c r="J19" s="495">
        <v>0</v>
      </c>
      <c r="K19" s="495">
        <v>1</v>
      </c>
      <c r="L19" s="495">
        <v>12</v>
      </c>
      <c r="M19" s="495"/>
      <c r="N19" s="495">
        <f>J19+K19+L19+M19</f>
        <v>13</v>
      </c>
      <c r="O19" s="495">
        <v>0</v>
      </c>
      <c r="P19" s="495">
        <v>0</v>
      </c>
      <c r="Q19" s="164">
        <v>25</v>
      </c>
      <c r="R19" s="495">
        <v>9</v>
      </c>
      <c r="S19" s="495">
        <v>10</v>
      </c>
      <c r="T19" s="178">
        <f>(R19/S19)*25</f>
        <v>22.5</v>
      </c>
      <c r="U19" s="495">
        <v>4</v>
      </c>
      <c r="V19" s="495">
        <v>12</v>
      </c>
      <c r="W19" s="177">
        <f t="shared" si="4"/>
        <v>8.3333333333333321</v>
      </c>
      <c r="X19" s="495"/>
      <c r="Y19" s="495"/>
      <c r="Z19" s="495"/>
      <c r="AA19" s="177">
        <f t="shared" si="5"/>
        <v>55.833333333333329</v>
      </c>
      <c r="AB19" s="495" t="s">
        <v>491</v>
      </c>
      <c r="AC19" s="161" t="s">
        <v>948</v>
      </c>
    </row>
    <row r="20" spans="1:29" ht="61.8" customHeight="1" x14ac:dyDescent="0.3">
      <c r="A20" s="495" t="s">
        <v>389</v>
      </c>
      <c r="B20" s="495" t="s">
        <v>398</v>
      </c>
      <c r="C20" s="495" t="s">
        <v>399</v>
      </c>
      <c r="D20" s="495" t="s">
        <v>457</v>
      </c>
      <c r="E20" s="495">
        <v>0</v>
      </c>
      <c r="F20" s="170">
        <v>0</v>
      </c>
      <c r="G20" s="170">
        <v>0</v>
      </c>
      <c r="H20" s="495"/>
      <c r="I20" s="495">
        <v>0</v>
      </c>
      <c r="J20" s="495">
        <v>0</v>
      </c>
      <c r="K20" s="495">
        <v>0</v>
      </c>
      <c r="L20" s="495">
        <v>0</v>
      </c>
      <c r="M20" s="495"/>
      <c r="N20" s="495">
        <v>0</v>
      </c>
      <c r="O20" s="495">
        <v>0</v>
      </c>
      <c r="P20" s="495">
        <v>0</v>
      </c>
      <c r="Q20" s="164">
        <v>25</v>
      </c>
      <c r="R20" s="495">
        <v>0</v>
      </c>
      <c r="S20" s="495">
        <v>0</v>
      </c>
      <c r="T20" s="164">
        <v>25</v>
      </c>
      <c r="U20" s="495">
        <v>0</v>
      </c>
      <c r="V20" s="495">
        <v>0</v>
      </c>
      <c r="W20" s="164">
        <v>25</v>
      </c>
      <c r="X20" s="495"/>
      <c r="Y20" s="495"/>
      <c r="Z20" s="495"/>
      <c r="AA20" s="163">
        <f t="shared" si="5"/>
        <v>75</v>
      </c>
      <c r="AB20" s="495" t="s">
        <v>492</v>
      </c>
      <c r="AC20" s="161" t="s">
        <v>949</v>
      </c>
    </row>
    <row r="21" spans="1:29" ht="49.8" customHeight="1" x14ac:dyDescent="0.3">
      <c r="A21" s="495" t="s">
        <v>389</v>
      </c>
      <c r="B21" s="495" t="s">
        <v>400</v>
      </c>
      <c r="C21" s="495" t="s">
        <v>459</v>
      </c>
      <c r="D21" s="495" t="s">
        <v>458</v>
      </c>
      <c r="E21" s="495">
        <v>4</v>
      </c>
      <c r="F21" s="170">
        <v>1</v>
      </c>
      <c r="G21" s="170">
        <v>1</v>
      </c>
      <c r="H21" s="495"/>
      <c r="I21" s="170">
        <f>E21+F21+G21</f>
        <v>6</v>
      </c>
      <c r="J21" s="495">
        <v>4</v>
      </c>
      <c r="K21" s="495">
        <v>1</v>
      </c>
      <c r="L21" s="495">
        <v>1</v>
      </c>
      <c r="M21" s="495"/>
      <c r="N21" s="495">
        <f>J21+K21+L21+M21</f>
        <v>6</v>
      </c>
      <c r="O21" s="495">
        <v>9</v>
      </c>
      <c r="P21" s="495">
        <v>9</v>
      </c>
      <c r="Q21" s="164">
        <f t="shared" si="3"/>
        <v>25</v>
      </c>
      <c r="R21" s="495">
        <v>10</v>
      </c>
      <c r="S21" s="495">
        <v>12</v>
      </c>
      <c r="T21" s="178">
        <f>(R21/S21)*25</f>
        <v>20.833333333333336</v>
      </c>
      <c r="U21" s="495">
        <v>1</v>
      </c>
      <c r="V21" s="495">
        <v>1</v>
      </c>
      <c r="W21" s="164">
        <f t="shared" si="4"/>
        <v>25</v>
      </c>
      <c r="X21" s="495"/>
      <c r="Y21" s="495"/>
      <c r="Z21" s="495"/>
      <c r="AA21" s="187">
        <f t="shared" si="5"/>
        <v>70.833333333333343</v>
      </c>
      <c r="AB21" s="495" t="s">
        <v>493</v>
      </c>
      <c r="AC21" s="161" t="s">
        <v>950</v>
      </c>
    </row>
    <row r="22" spans="1:29" ht="49.8" customHeight="1" x14ac:dyDescent="0.3">
      <c r="A22" s="495" t="s">
        <v>389</v>
      </c>
      <c r="B22" s="495" t="s">
        <v>401</v>
      </c>
      <c r="C22" s="495" t="s">
        <v>460</v>
      </c>
      <c r="D22" s="495" t="s">
        <v>402</v>
      </c>
      <c r="E22" s="495">
        <v>0</v>
      </c>
      <c r="F22" s="170">
        <v>20</v>
      </c>
      <c r="G22" s="170">
        <v>20</v>
      </c>
      <c r="H22" s="495">
        <v>20</v>
      </c>
      <c r="I22" s="495">
        <v>60</v>
      </c>
      <c r="J22" s="495">
        <v>0</v>
      </c>
      <c r="K22" s="495">
        <v>0</v>
      </c>
      <c r="L22" s="495">
        <v>48</v>
      </c>
      <c r="M22" s="495"/>
      <c r="N22" s="495">
        <v>48</v>
      </c>
      <c r="O22" s="495">
        <v>0</v>
      </c>
      <c r="P22" s="495">
        <v>0</v>
      </c>
      <c r="Q22" s="164">
        <v>25</v>
      </c>
      <c r="R22" s="495">
        <v>0</v>
      </c>
      <c r="S22" s="495">
        <v>20</v>
      </c>
      <c r="T22" s="162">
        <v>0</v>
      </c>
      <c r="U22" s="495">
        <v>48</v>
      </c>
      <c r="V22" s="495">
        <v>20</v>
      </c>
      <c r="W22" s="164">
        <f t="shared" si="4"/>
        <v>60</v>
      </c>
      <c r="X22" s="495"/>
      <c r="Y22" s="495"/>
      <c r="Z22" s="495"/>
      <c r="AA22" s="163">
        <f t="shared" si="5"/>
        <v>85</v>
      </c>
      <c r="AB22" s="495" t="s">
        <v>494</v>
      </c>
      <c r="AC22" s="161" t="s">
        <v>951</v>
      </c>
    </row>
    <row r="23" spans="1:29" ht="65.400000000000006" customHeight="1" x14ac:dyDescent="0.3">
      <c r="A23" s="495" t="s">
        <v>389</v>
      </c>
      <c r="B23" s="495" t="s">
        <v>403</v>
      </c>
      <c r="C23" s="495" t="s">
        <v>404</v>
      </c>
      <c r="D23" s="495" t="s">
        <v>461</v>
      </c>
      <c r="E23" s="495">
        <v>1</v>
      </c>
      <c r="F23" s="170">
        <v>0</v>
      </c>
      <c r="G23" s="170">
        <v>0</v>
      </c>
      <c r="H23" s="495"/>
      <c r="I23" s="495">
        <v>1</v>
      </c>
      <c r="J23" s="495">
        <v>0</v>
      </c>
      <c r="K23" s="495">
        <v>1</v>
      </c>
      <c r="L23" s="495">
        <v>0</v>
      </c>
      <c r="M23" s="495"/>
      <c r="N23" s="495">
        <v>1</v>
      </c>
      <c r="O23" s="495">
        <v>1</v>
      </c>
      <c r="P23" s="495">
        <v>1</v>
      </c>
      <c r="Q23" s="164">
        <f t="shared" si="3"/>
        <v>25</v>
      </c>
      <c r="R23" s="495">
        <v>0</v>
      </c>
      <c r="S23" s="495">
        <v>2</v>
      </c>
      <c r="T23" s="162">
        <v>0</v>
      </c>
      <c r="U23" s="495">
        <v>0</v>
      </c>
      <c r="V23" s="495">
        <v>0</v>
      </c>
      <c r="W23" s="164">
        <v>25</v>
      </c>
      <c r="X23" s="495"/>
      <c r="Y23" s="495"/>
      <c r="Z23" s="495"/>
      <c r="AA23" s="162">
        <f t="shared" si="5"/>
        <v>50</v>
      </c>
      <c r="AB23" s="495" t="s">
        <v>495</v>
      </c>
      <c r="AC23" s="161" t="s">
        <v>952</v>
      </c>
    </row>
    <row r="24" spans="1:29" ht="49.8" customHeight="1" x14ac:dyDescent="0.3">
      <c r="A24" s="495" t="s">
        <v>389</v>
      </c>
      <c r="B24" s="495" t="s">
        <v>405</v>
      </c>
      <c r="C24" s="495" t="s">
        <v>406</v>
      </c>
      <c r="D24" s="495" t="s">
        <v>407</v>
      </c>
      <c r="E24" s="495">
        <v>0</v>
      </c>
      <c r="F24" s="170">
        <v>3</v>
      </c>
      <c r="G24" s="170">
        <v>3</v>
      </c>
      <c r="H24" s="495">
        <v>2</v>
      </c>
      <c r="I24" s="495">
        <v>8</v>
      </c>
      <c r="J24" s="495">
        <v>0</v>
      </c>
      <c r="K24" s="495">
        <v>3</v>
      </c>
      <c r="L24" s="495">
        <v>3</v>
      </c>
      <c r="M24" s="495"/>
      <c r="N24" s="495">
        <f>K24+L24</f>
        <v>6</v>
      </c>
      <c r="O24" s="495">
        <v>0</v>
      </c>
      <c r="P24" s="495">
        <v>0</v>
      </c>
      <c r="Q24" s="164">
        <v>25</v>
      </c>
      <c r="R24" s="495">
        <v>3</v>
      </c>
      <c r="S24" s="495">
        <v>3</v>
      </c>
      <c r="T24" s="164">
        <v>25</v>
      </c>
      <c r="U24" s="495">
        <v>3</v>
      </c>
      <c r="V24" s="495">
        <v>3</v>
      </c>
      <c r="W24" s="164">
        <f t="shared" si="4"/>
        <v>25</v>
      </c>
      <c r="X24" s="495"/>
      <c r="Y24" s="495"/>
      <c r="Z24" s="495"/>
      <c r="AA24" s="163">
        <f t="shared" si="5"/>
        <v>75</v>
      </c>
      <c r="AB24" s="495" t="s">
        <v>494</v>
      </c>
      <c r="AC24" s="161" t="s">
        <v>953</v>
      </c>
    </row>
    <row r="25" spans="1:29" ht="90" customHeight="1" x14ac:dyDescent="0.3">
      <c r="A25" s="495" t="s">
        <v>389</v>
      </c>
      <c r="B25" s="495" t="s">
        <v>408</v>
      </c>
      <c r="C25" s="495" t="s">
        <v>409</v>
      </c>
      <c r="D25" s="495" t="s">
        <v>410</v>
      </c>
      <c r="E25" s="495">
        <v>500</v>
      </c>
      <c r="F25" s="170">
        <v>1000</v>
      </c>
      <c r="G25" s="170">
        <v>7000</v>
      </c>
      <c r="H25" s="495">
        <v>6500</v>
      </c>
      <c r="I25" s="495">
        <v>15000</v>
      </c>
      <c r="J25" s="495">
        <v>394</v>
      </c>
      <c r="K25" s="495">
        <v>1036</v>
      </c>
      <c r="L25" s="495">
        <v>6021</v>
      </c>
      <c r="M25" s="495"/>
      <c r="N25" s="495">
        <f>J25+K25+L25</f>
        <v>7451</v>
      </c>
      <c r="O25" s="495">
        <v>394</v>
      </c>
      <c r="P25" s="495">
        <v>500</v>
      </c>
      <c r="Q25" s="180">
        <f t="shared" si="3"/>
        <v>19.7</v>
      </c>
      <c r="R25" s="495">
        <v>1036</v>
      </c>
      <c r="S25" s="495">
        <v>1000</v>
      </c>
      <c r="T25" s="178">
        <f>(R25/S25)*25</f>
        <v>25.900000000000002</v>
      </c>
      <c r="U25" s="495">
        <v>6021</v>
      </c>
      <c r="V25" s="495">
        <v>7000</v>
      </c>
      <c r="W25" s="178">
        <f t="shared" si="4"/>
        <v>21.503571428571426</v>
      </c>
      <c r="X25" s="495"/>
      <c r="Y25" s="495"/>
      <c r="Z25" s="495"/>
      <c r="AA25" s="180">
        <f t="shared" si="5"/>
        <v>67.103571428571428</v>
      </c>
      <c r="AB25" s="495" t="s">
        <v>496</v>
      </c>
      <c r="AC25" s="161" t="s">
        <v>954</v>
      </c>
    </row>
    <row r="26" spans="1:29" ht="72.599999999999994" customHeight="1" x14ac:dyDescent="0.3">
      <c r="A26" s="80" t="s">
        <v>869</v>
      </c>
      <c r="B26" s="495" t="s">
        <v>827</v>
      </c>
      <c r="C26" s="495" t="s">
        <v>830</v>
      </c>
      <c r="D26" s="495" t="s">
        <v>523</v>
      </c>
      <c r="E26" s="495">
        <v>0</v>
      </c>
      <c r="F26" s="170">
        <v>0</v>
      </c>
      <c r="G26" s="170">
        <v>0</v>
      </c>
      <c r="H26" s="495">
        <v>1</v>
      </c>
      <c r="I26" s="495">
        <v>1</v>
      </c>
      <c r="J26" s="495">
        <v>0</v>
      </c>
      <c r="K26" s="495">
        <v>0</v>
      </c>
      <c r="L26" s="495">
        <v>0</v>
      </c>
      <c r="M26" s="495"/>
      <c r="N26" s="495">
        <v>0</v>
      </c>
      <c r="O26" s="495">
        <v>0</v>
      </c>
      <c r="P26" s="495">
        <v>0</v>
      </c>
      <c r="Q26" s="164">
        <v>25</v>
      </c>
      <c r="R26" s="495">
        <v>0</v>
      </c>
      <c r="S26" s="495">
        <v>0</v>
      </c>
      <c r="T26" s="164">
        <v>25</v>
      </c>
      <c r="U26" s="495">
        <v>0</v>
      </c>
      <c r="V26" s="495">
        <v>0</v>
      </c>
      <c r="W26" s="164">
        <v>25</v>
      </c>
      <c r="X26" s="495"/>
      <c r="Y26" s="495"/>
      <c r="Z26" s="495"/>
      <c r="AA26" s="163">
        <f t="shared" si="5"/>
        <v>75</v>
      </c>
      <c r="AB26" s="495"/>
      <c r="AC26" s="161" t="s">
        <v>955</v>
      </c>
    </row>
    <row r="27" spans="1:29" ht="49.8" customHeight="1" x14ac:dyDescent="0.3">
      <c r="A27" s="80" t="s">
        <v>869</v>
      </c>
      <c r="B27" s="495" t="s">
        <v>828</v>
      </c>
      <c r="C27" s="495" t="s">
        <v>830</v>
      </c>
      <c r="D27" s="495" t="s">
        <v>523</v>
      </c>
      <c r="E27" s="495">
        <v>1</v>
      </c>
      <c r="F27" s="170">
        <v>1</v>
      </c>
      <c r="G27" s="170">
        <v>1</v>
      </c>
      <c r="H27" s="495">
        <v>1</v>
      </c>
      <c r="I27" s="495">
        <v>4</v>
      </c>
      <c r="J27" s="495">
        <v>1</v>
      </c>
      <c r="K27" s="495">
        <v>1</v>
      </c>
      <c r="L27" s="495">
        <v>1</v>
      </c>
      <c r="M27" s="495"/>
      <c r="N27" s="495">
        <v>3</v>
      </c>
      <c r="O27" s="495">
        <v>1</v>
      </c>
      <c r="P27" s="495">
        <v>1</v>
      </c>
      <c r="Q27" s="164">
        <v>25</v>
      </c>
      <c r="R27" s="495">
        <v>1</v>
      </c>
      <c r="S27" s="495">
        <v>1</v>
      </c>
      <c r="T27" s="164">
        <v>25</v>
      </c>
      <c r="U27" s="495">
        <v>1</v>
      </c>
      <c r="V27" s="495">
        <v>1</v>
      </c>
      <c r="W27" s="164">
        <f t="shared" si="4"/>
        <v>25</v>
      </c>
      <c r="X27" s="495"/>
      <c r="Y27" s="495"/>
      <c r="Z27" s="495"/>
      <c r="AA27" s="163">
        <f t="shared" si="5"/>
        <v>75</v>
      </c>
      <c r="AB27" s="495"/>
      <c r="AC27" s="161" t="s">
        <v>956</v>
      </c>
    </row>
    <row r="28" spans="1:29" ht="64.2" customHeight="1" x14ac:dyDescent="0.3">
      <c r="A28" s="80" t="s">
        <v>869</v>
      </c>
      <c r="B28" s="495" t="s">
        <v>832</v>
      </c>
      <c r="C28" s="495" t="s">
        <v>833</v>
      </c>
      <c r="D28" s="495" t="s">
        <v>834</v>
      </c>
      <c r="E28" s="495">
        <v>1</v>
      </c>
      <c r="F28" s="170">
        <v>1</v>
      </c>
      <c r="G28" s="170">
        <v>1</v>
      </c>
      <c r="H28" s="495">
        <v>1</v>
      </c>
      <c r="I28" s="495">
        <v>4</v>
      </c>
      <c r="J28" s="495">
        <v>0</v>
      </c>
      <c r="K28" s="495">
        <v>0</v>
      </c>
      <c r="L28" s="495">
        <v>2</v>
      </c>
      <c r="M28" s="495"/>
      <c r="N28" s="495">
        <v>2</v>
      </c>
      <c r="O28" s="495">
        <v>0</v>
      </c>
      <c r="P28" s="495">
        <v>1</v>
      </c>
      <c r="Q28" s="162">
        <v>0</v>
      </c>
      <c r="R28" s="495">
        <v>0</v>
      </c>
      <c r="S28" s="495">
        <v>1</v>
      </c>
      <c r="T28" s="162">
        <v>0</v>
      </c>
      <c r="U28" s="495">
        <v>2</v>
      </c>
      <c r="V28" s="495">
        <v>1</v>
      </c>
      <c r="W28" s="164">
        <f t="shared" si="4"/>
        <v>50</v>
      </c>
      <c r="X28" s="495"/>
      <c r="Y28" s="495"/>
      <c r="Z28" s="495"/>
      <c r="AA28" s="162">
        <f t="shared" si="5"/>
        <v>50</v>
      </c>
      <c r="AB28" s="495"/>
      <c r="AC28" s="161" t="s">
        <v>957</v>
      </c>
    </row>
    <row r="29" spans="1:29" ht="49.8" customHeight="1" x14ac:dyDescent="0.3">
      <c r="A29" s="80" t="s">
        <v>869</v>
      </c>
      <c r="B29" s="495" t="s">
        <v>829</v>
      </c>
      <c r="C29" s="495" t="s">
        <v>831</v>
      </c>
      <c r="D29" s="495" t="s">
        <v>780</v>
      </c>
      <c r="E29" s="495">
        <v>1</v>
      </c>
      <c r="F29" s="170">
        <v>1</v>
      </c>
      <c r="G29" s="170">
        <v>1</v>
      </c>
      <c r="H29" s="495">
        <v>1</v>
      </c>
      <c r="I29" s="495">
        <v>4</v>
      </c>
      <c r="J29" s="495">
        <v>0</v>
      </c>
      <c r="K29" s="495">
        <v>1</v>
      </c>
      <c r="L29" s="495">
        <v>2</v>
      </c>
      <c r="M29" s="495"/>
      <c r="N29" s="495">
        <v>3</v>
      </c>
      <c r="O29" s="495">
        <v>0</v>
      </c>
      <c r="P29" s="495">
        <v>1</v>
      </c>
      <c r="Q29" s="162">
        <v>0</v>
      </c>
      <c r="R29" s="495">
        <v>0</v>
      </c>
      <c r="S29" s="495">
        <v>1</v>
      </c>
      <c r="T29" s="162">
        <v>0</v>
      </c>
      <c r="U29" s="495">
        <v>2</v>
      </c>
      <c r="V29" s="495">
        <v>1</v>
      </c>
      <c r="W29" s="164">
        <f t="shared" si="4"/>
        <v>50</v>
      </c>
      <c r="X29" s="495"/>
      <c r="Y29" s="495"/>
      <c r="Z29" s="495"/>
      <c r="AA29" s="162">
        <f t="shared" si="5"/>
        <v>50</v>
      </c>
      <c r="AB29" s="495"/>
      <c r="AC29" s="161" t="s">
        <v>958</v>
      </c>
    </row>
    <row r="30" spans="1:29" ht="49.8" customHeight="1" x14ac:dyDescent="0.3">
      <c r="A30" s="80" t="s">
        <v>869</v>
      </c>
      <c r="B30" s="495" t="s">
        <v>826</v>
      </c>
      <c r="C30" s="495" t="s">
        <v>411</v>
      </c>
      <c r="D30" s="495" t="s">
        <v>412</v>
      </c>
      <c r="E30" s="495">
        <v>0</v>
      </c>
      <c r="F30" s="170">
        <v>0</v>
      </c>
      <c r="G30" s="170">
        <v>60</v>
      </c>
      <c r="H30" s="495">
        <v>0</v>
      </c>
      <c r="I30" s="495">
        <v>60</v>
      </c>
      <c r="J30" s="495">
        <v>0</v>
      </c>
      <c r="K30" s="495">
        <v>29</v>
      </c>
      <c r="L30" s="495">
        <v>68</v>
      </c>
      <c r="M30" s="495"/>
      <c r="N30" s="495">
        <f>K30+L30+M30</f>
        <v>97</v>
      </c>
      <c r="O30" s="495">
        <v>0</v>
      </c>
      <c r="P30" s="495">
        <v>0</v>
      </c>
      <c r="Q30" s="164">
        <v>25</v>
      </c>
      <c r="R30" s="495">
        <v>0</v>
      </c>
      <c r="S30" s="495">
        <v>0</v>
      </c>
      <c r="T30" s="164">
        <v>25</v>
      </c>
      <c r="U30" s="495">
        <v>68</v>
      </c>
      <c r="V30" s="495">
        <v>60</v>
      </c>
      <c r="W30" s="177">
        <f t="shared" si="4"/>
        <v>28.333333333333332</v>
      </c>
      <c r="X30" s="495"/>
      <c r="Y30" s="495"/>
      <c r="Z30" s="495"/>
      <c r="AA30" s="180">
        <f t="shared" si="5"/>
        <v>78.333333333333329</v>
      </c>
      <c r="AB30" s="495" t="s">
        <v>497</v>
      </c>
      <c r="AC30" s="161" t="s">
        <v>959</v>
      </c>
    </row>
    <row r="31" spans="1:29" ht="65.400000000000006" customHeight="1" x14ac:dyDescent="0.3">
      <c r="A31" s="495" t="s">
        <v>413</v>
      </c>
      <c r="B31" s="495" t="s">
        <v>414</v>
      </c>
      <c r="C31" s="495" t="s">
        <v>462</v>
      </c>
      <c r="D31" s="495" t="s">
        <v>580</v>
      </c>
      <c r="E31" s="171">
        <v>13781</v>
      </c>
      <c r="F31" s="171">
        <v>13781</v>
      </c>
      <c r="G31" s="171">
        <v>13781</v>
      </c>
      <c r="H31" s="171">
        <v>13780</v>
      </c>
      <c r="I31" s="170">
        <f>E31+F31+G31+H31</f>
        <v>55123</v>
      </c>
      <c r="J31" s="495">
        <v>6534</v>
      </c>
      <c r="K31" s="495">
        <v>10966</v>
      </c>
      <c r="L31" s="495">
        <v>15330</v>
      </c>
      <c r="M31" s="495"/>
      <c r="N31" s="495">
        <f>J31+K31+L31+M31</f>
        <v>32830</v>
      </c>
      <c r="O31" s="495">
        <v>6534</v>
      </c>
      <c r="P31" s="171">
        <v>13781</v>
      </c>
      <c r="Q31" s="177">
        <f t="shared" si="3"/>
        <v>11.853276249909294</v>
      </c>
      <c r="R31" s="495">
        <v>10966</v>
      </c>
      <c r="S31" s="495">
        <v>13871</v>
      </c>
      <c r="T31" s="180">
        <f>(R31/S31)*25</f>
        <v>19.764256362194509</v>
      </c>
      <c r="U31" s="495">
        <v>15330</v>
      </c>
      <c r="V31" s="495">
        <v>13781</v>
      </c>
      <c r="W31" s="178">
        <f t="shared" si="4"/>
        <v>27.810028299833107</v>
      </c>
      <c r="X31" s="495"/>
      <c r="Y31" s="495"/>
      <c r="Z31" s="495"/>
      <c r="AA31" s="177">
        <f t="shared" si="5"/>
        <v>59.427560911936908</v>
      </c>
      <c r="AB31" s="495" t="s">
        <v>498</v>
      </c>
      <c r="AC31" s="161" t="s">
        <v>927</v>
      </c>
    </row>
    <row r="32" spans="1:29" ht="63" customHeight="1" x14ac:dyDescent="0.3">
      <c r="A32" s="495" t="s">
        <v>413</v>
      </c>
      <c r="B32" s="495" t="s">
        <v>415</v>
      </c>
      <c r="C32" s="495" t="s">
        <v>416</v>
      </c>
      <c r="D32" s="495" t="s">
        <v>581</v>
      </c>
      <c r="E32" s="495">
        <v>0</v>
      </c>
      <c r="F32" s="170">
        <v>20</v>
      </c>
      <c r="G32" s="170">
        <v>20</v>
      </c>
      <c r="H32" s="495">
        <v>20</v>
      </c>
      <c r="I32" s="495">
        <v>60</v>
      </c>
      <c r="J32" s="495">
        <v>0</v>
      </c>
      <c r="K32" s="495">
        <v>48</v>
      </c>
      <c r="L32" s="495">
        <v>32</v>
      </c>
      <c r="M32" s="495"/>
      <c r="N32" s="495">
        <f>J32+K32+L32+M32</f>
        <v>80</v>
      </c>
      <c r="O32" s="495">
        <v>0</v>
      </c>
      <c r="P32" s="495">
        <v>0</v>
      </c>
      <c r="Q32" s="164">
        <v>25</v>
      </c>
      <c r="R32" s="495">
        <v>48</v>
      </c>
      <c r="S32" s="495">
        <v>20</v>
      </c>
      <c r="T32" s="178">
        <f>(R32/S32)*25</f>
        <v>60</v>
      </c>
      <c r="U32" s="495">
        <v>32</v>
      </c>
      <c r="V32" s="495">
        <v>20</v>
      </c>
      <c r="W32" s="164">
        <f t="shared" si="4"/>
        <v>40</v>
      </c>
      <c r="X32" s="495"/>
      <c r="Y32" s="495"/>
      <c r="Z32" s="495"/>
      <c r="AA32" s="164">
        <f t="shared" si="5"/>
        <v>125</v>
      </c>
      <c r="AB32" s="495" t="s">
        <v>499</v>
      </c>
      <c r="AC32" s="161" t="s">
        <v>926</v>
      </c>
    </row>
    <row r="33" spans="1:29" ht="67.8" customHeight="1" x14ac:dyDescent="0.3">
      <c r="A33" s="495" t="s">
        <v>413</v>
      </c>
      <c r="B33" s="495" t="s">
        <v>417</v>
      </c>
      <c r="C33" s="495" t="s">
        <v>418</v>
      </c>
      <c r="D33" s="495" t="s">
        <v>582</v>
      </c>
      <c r="E33" s="495">
        <v>0</v>
      </c>
      <c r="F33" s="170">
        <v>0</v>
      </c>
      <c r="G33" s="170">
        <v>9</v>
      </c>
      <c r="H33" s="495">
        <v>0</v>
      </c>
      <c r="I33" s="495">
        <v>9</v>
      </c>
      <c r="J33" s="495">
        <v>0</v>
      </c>
      <c r="K33" s="495">
        <v>0</v>
      </c>
      <c r="L33" s="495">
        <v>0</v>
      </c>
      <c r="M33" s="495"/>
      <c r="N33" s="495">
        <v>0</v>
      </c>
      <c r="O33" s="495">
        <v>0</v>
      </c>
      <c r="P33" s="495">
        <v>0</v>
      </c>
      <c r="Q33" s="164">
        <v>25</v>
      </c>
      <c r="R33" s="495">
        <v>0</v>
      </c>
      <c r="S33" s="495">
        <v>0</v>
      </c>
      <c r="T33" s="164">
        <v>25</v>
      </c>
      <c r="U33" s="495">
        <v>0</v>
      </c>
      <c r="V33" s="495">
        <v>0</v>
      </c>
      <c r="W33" s="162">
        <v>0</v>
      </c>
      <c r="X33" s="495"/>
      <c r="Y33" s="495"/>
      <c r="Z33" s="495"/>
      <c r="AA33" s="162">
        <f t="shared" si="5"/>
        <v>50</v>
      </c>
      <c r="AB33" s="495" t="s">
        <v>500</v>
      </c>
      <c r="AC33" s="161" t="s">
        <v>928</v>
      </c>
    </row>
    <row r="34" spans="1:29" ht="49.8" customHeight="1" x14ac:dyDescent="0.3">
      <c r="A34" s="495" t="s">
        <v>413</v>
      </c>
      <c r="B34" s="495" t="s">
        <v>419</v>
      </c>
      <c r="C34" s="495" t="s">
        <v>420</v>
      </c>
      <c r="D34" s="495" t="s">
        <v>463</v>
      </c>
      <c r="E34" s="495">
        <v>24</v>
      </c>
      <c r="F34" s="171">
        <v>28</v>
      </c>
      <c r="G34" s="170">
        <v>18</v>
      </c>
      <c r="H34" s="495"/>
      <c r="I34" s="170">
        <f>E34+F34+G34+H34</f>
        <v>70</v>
      </c>
      <c r="J34" s="495">
        <v>24</v>
      </c>
      <c r="K34" s="495">
        <v>28</v>
      </c>
      <c r="L34" s="495">
        <v>18</v>
      </c>
      <c r="M34" s="495"/>
      <c r="N34" s="495">
        <f>J34+K34+L34+M34</f>
        <v>70</v>
      </c>
      <c r="O34" s="495">
        <v>24</v>
      </c>
      <c r="P34" s="495">
        <v>24</v>
      </c>
      <c r="Q34" s="164">
        <f t="shared" si="3"/>
        <v>25</v>
      </c>
      <c r="R34" s="495">
        <v>28</v>
      </c>
      <c r="S34" s="495">
        <v>28</v>
      </c>
      <c r="T34" s="164">
        <v>25</v>
      </c>
      <c r="U34" s="495">
        <v>18</v>
      </c>
      <c r="V34" s="495">
        <v>18</v>
      </c>
      <c r="W34" s="164">
        <f t="shared" si="4"/>
        <v>25</v>
      </c>
      <c r="X34" s="495"/>
      <c r="Y34" s="495"/>
      <c r="Z34" s="495"/>
      <c r="AA34" s="163">
        <f t="shared" si="5"/>
        <v>75</v>
      </c>
      <c r="AB34" s="495" t="s">
        <v>501</v>
      </c>
      <c r="AC34" s="161" t="s">
        <v>929</v>
      </c>
    </row>
    <row r="35" spans="1:29" ht="49.8" customHeight="1" x14ac:dyDescent="0.3">
      <c r="A35" s="495" t="s">
        <v>413</v>
      </c>
      <c r="B35" s="495" t="s">
        <v>421</v>
      </c>
      <c r="C35" s="495" t="s">
        <v>422</v>
      </c>
      <c r="D35" s="495" t="s">
        <v>464</v>
      </c>
      <c r="E35" s="495">
        <v>424</v>
      </c>
      <c r="F35" s="171">
        <v>225</v>
      </c>
      <c r="G35" s="170">
        <v>294</v>
      </c>
      <c r="H35" s="495"/>
      <c r="I35" s="170">
        <f>E35+F35+G35+H35</f>
        <v>943</v>
      </c>
      <c r="J35" s="495">
        <v>424</v>
      </c>
      <c r="K35" s="495">
        <v>225</v>
      </c>
      <c r="L35" s="495">
        <v>294</v>
      </c>
      <c r="M35" s="495"/>
      <c r="N35" s="495">
        <f>J35+K35+L35+M35</f>
        <v>943</v>
      </c>
      <c r="O35" s="495">
        <v>424</v>
      </c>
      <c r="P35" s="495">
        <v>424</v>
      </c>
      <c r="Q35" s="164">
        <f t="shared" si="3"/>
        <v>25</v>
      </c>
      <c r="R35" s="495">
        <v>225</v>
      </c>
      <c r="S35" s="495">
        <v>225</v>
      </c>
      <c r="T35" s="164">
        <v>25</v>
      </c>
      <c r="U35" s="495">
        <v>294</v>
      </c>
      <c r="V35" s="495">
        <v>225</v>
      </c>
      <c r="W35" s="178">
        <f t="shared" si="4"/>
        <v>32.666666666666664</v>
      </c>
      <c r="X35" s="495"/>
      <c r="Y35" s="495"/>
      <c r="Z35" s="495"/>
      <c r="AA35" s="180">
        <f t="shared" si="5"/>
        <v>82.666666666666657</v>
      </c>
      <c r="AB35" s="495" t="s">
        <v>502</v>
      </c>
      <c r="AC35" s="161" t="s">
        <v>930</v>
      </c>
    </row>
    <row r="36" spans="1:29" ht="49.8" customHeight="1" x14ac:dyDescent="0.3">
      <c r="A36" s="495" t="s">
        <v>413</v>
      </c>
      <c r="B36" s="495" t="s">
        <v>423</v>
      </c>
      <c r="C36" s="495" t="s">
        <v>424</v>
      </c>
      <c r="D36" s="495" t="s">
        <v>465</v>
      </c>
      <c r="E36" s="495">
        <v>0</v>
      </c>
      <c r="F36" s="170">
        <v>34</v>
      </c>
      <c r="G36" s="170">
        <v>33</v>
      </c>
      <c r="H36" s="495">
        <v>33</v>
      </c>
      <c r="I36" s="170">
        <f>F36+G36+H36</f>
        <v>100</v>
      </c>
      <c r="J36" s="495">
        <v>0</v>
      </c>
      <c r="K36" s="495">
        <v>54</v>
      </c>
      <c r="L36" s="495">
        <v>54</v>
      </c>
      <c r="M36" s="495"/>
      <c r="N36" s="495">
        <f>K36+L36</f>
        <v>108</v>
      </c>
      <c r="O36" s="495">
        <v>0</v>
      </c>
      <c r="P36" s="495">
        <v>0</v>
      </c>
      <c r="Q36" s="164">
        <v>25</v>
      </c>
      <c r="R36" s="495">
        <v>54</v>
      </c>
      <c r="S36" s="495">
        <v>34</v>
      </c>
      <c r="T36" s="178">
        <f>(R36/S36)*25</f>
        <v>39.705882352941174</v>
      </c>
      <c r="U36" s="495">
        <v>54</v>
      </c>
      <c r="V36" s="495">
        <v>33</v>
      </c>
      <c r="W36" s="178">
        <f t="shared" si="4"/>
        <v>40.909090909090914</v>
      </c>
      <c r="X36" s="495"/>
      <c r="Y36" s="495"/>
      <c r="Z36" s="495"/>
      <c r="AA36" s="178">
        <f t="shared" si="5"/>
        <v>105.61497326203209</v>
      </c>
      <c r="AB36" s="495" t="s">
        <v>503</v>
      </c>
      <c r="AC36" s="161" t="s">
        <v>931</v>
      </c>
    </row>
    <row r="37" spans="1:29" ht="81.599999999999994" customHeight="1" x14ac:dyDescent="0.3">
      <c r="A37" s="495" t="s">
        <v>413</v>
      </c>
      <c r="B37" s="495" t="s">
        <v>425</v>
      </c>
      <c r="C37" s="495" t="s">
        <v>467</v>
      </c>
      <c r="D37" s="495" t="s">
        <v>466</v>
      </c>
      <c r="E37" s="495">
        <v>60</v>
      </c>
      <c r="F37" s="170">
        <v>70</v>
      </c>
      <c r="G37" s="170">
        <v>70</v>
      </c>
      <c r="H37" s="495">
        <v>0</v>
      </c>
      <c r="I37" s="170">
        <f>E37+F37+G37+H37</f>
        <v>200</v>
      </c>
      <c r="J37" s="495">
        <v>0</v>
      </c>
      <c r="K37" s="495">
        <v>65</v>
      </c>
      <c r="L37" s="495">
        <v>161</v>
      </c>
      <c r="M37" s="495"/>
      <c r="N37" s="495">
        <f>K37+L37</f>
        <v>226</v>
      </c>
      <c r="O37" s="495">
        <v>0</v>
      </c>
      <c r="P37" s="495">
        <v>60</v>
      </c>
      <c r="Q37" s="162">
        <f t="shared" si="3"/>
        <v>0</v>
      </c>
      <c r="R37" s="495">
        <v>65</v>
      </c>
      <c r="S37" s="495">
        <v>70</v>
      </c>
      <c r="T37" s="178">
        <f>(R37/S37)*25</f>
        <v>23.214285714285715</v>
      </c>
      <c r="U37" s="495">
        <v>161</v>
      </c>
      <c r="V37" s="495">
        <v>70</v>
      </c>
      <c r="W37" s="178">
        <f t="shared" si="4"/>
        <v>57.499999999999993</v>
      </c>
      <c r="X37" s="495"/>
      <c r="Y37" s="495"/>
      <c r="Z37" s="495"/>
      <c r="AA37" s="180">
        <f t="shared" si="5"/>
        <v>80.714285714285708</v>
      </c>
      <c r="AB37" s="495" t="s">
        <v>504</v>
      </c>
      <c r="AC37" s="161" t="s">
        <v>878</v>
      </c>
    </row>
    <row r="38" spans="1:29" ht="77.400000000000006" customHeight="1" x14ac:dyDescent="0.3">
      <c r="A38" s="495" t="s">
        <v>413</v>
      </c>
      <c r="B38" s="495" t="s">
        <v>426</v>
      </c>
      <c r="C38" s="495" t="s">
        <v>468</v>
      </c>
      <c r="D38" s="495" t="s">
        <v>469</v>
      </c>
      <c r="E38" s="495">
        <v>25</v>
      </c>
      <c r="F38" s="170">
        <v>25</v>
      </c>
      <c r="G38" s="170">
        <v>25</v>
      </c>
      <c r="H38" s="495">
        <v>25</v>
      </c>
      <c r="I38" s="495">
        <v>100</v>
      </c>
      <c r="J38" s="495">
        <v>25</v>
      </c>
      <c r="K38" s="495">
        <v>25</v>
      </c>
      <c r="L38" s="495">
        <v>25</v>
      </c>
      <c r="M38" s="495"/>
      <c r="N38" s="495">
        <f>J38+K38+L38+M38</f>
        <v>75</v>
      </c>
      <c r="O38" s="495">
        <v>25</v>
      </c>
      <c r="P38" s="495">
        <v>25</v>
      </c>
      <c r="Q38" s="164">
        <f t="shared" si="3"/>
        <v>25</v>
      </c>
      <c r="R38" s="495">
        <v>25</v>
      </c>
      <c r="S38" s="495">
        <v>25</v>
      </c>
      <c r="T38" s="164">
        <v>25</v>
      </c>
      <c r="U38" s="495">
        <v>25</v>
      </c>
      <c r="V38" s="495">
        <v>25</v>
      </c>
      <c r="W38" s="164">
        <f t="shared" si="4"/>
        <v>25</v>
      </c>
      <c r="X38" s="495"/>
      <c r="Y38" s="495"/>
      <c r="Z38" s="495"/>
      <c r="AA38" s="163">
        <f t="shared" si="5"/>
        <v>75</v>
      </c>
      <c r="AB38" s="495" t="s">
        <v>505</v>
      </c>
      <c r="AC38" s="161" t="s">
        <v>932</v>
      </c>
    </row>
    <row r="39" spans="1:29" ht="49.8" customHeight="1" x14ac:dyDescent="0.3">
      <c r="A39" s="131" t="s">
        <v>872</v>
      </c>
      <c r="B39" s="495" t="s">
        <v>835</v>
      </c>
      <c r="C39" s="495" t="s">
        <v>838</v>
      </c>
      <c r="D39" s="495" t="s">
        <v>43</v>
      </c>
      <c r="E39" s="495">
        <v>1</v>
      </c>
      <c r="F39" s="170">
        <v>1</v>
      </c>
      <c r="G39" s="170">
        <v>0</v>
      </c>
      <c r="H39" s="495"/>
      <c r="I39" s="495">
        <v>2</v>
      </c>
      <c r="J39" s="495">
        <v>1</v>
      </c>
      <c r="K39" s="495">
        <v>1</v>
      </c>
      <c r="L39" s="495">
        <v>0</v>
      </c>
      <c r="M39" s="495"/>
      <c r="N39" s="495">
        <v>2</v>
      </c>
      <c r="O39" s="495">
        <v>1</v>
      </c>
      <c r="P39" s="495">
        <v>1</v>
      </c>
      <c r="Q39" s="164">
        <f t="shared" si="3"/>
        <v>25</v>
      </c>
      <c r="R39" s="495">
        <v>1</v>
      </c>
      <c r="S39" s="495">
        <v>1</v>
      </c>
      <c r="T39" s="164">
        <v>25</v>
      </c>
      <c r="U39" s="495">
        <v>0</v>
      </c>
      <c r="V39" s="495">
        <v>0</v>
      </c>
      <c r="W39" s="164">
        <v>25</v>
      </c>
      <c r="X39" s="495"/>
      <c r="Y39" s="495"/>
      <c r="Z39" s="495"/>
      <c r="AA39" s="163">
        <f t="shared" si="5"/>
        <v>75</v>
      </c>
      <c r="AB39" s="495"/>
      <c r="AC39" s="161" t="s">
        <v>929</v>
      </c>
    </row>
    <row r="40" spans="1:29" ht="71.400000000000006" customHeight="1" x14ac:dyDescent="0.3">
      <c r="A40" s="131" t="s">
        <v>872</v>
      </c>
      <c r="B40" s="495" t="s">
        <v>836</v>
      </c>
      <c r="C40" s="495" t="s">
        <v>839</v>
      </c>
      <c r="D40" s="495" t="s">
        <v>840</v>
      </c>
      <c r="E40" s="495">
        <v>0</v>
      </c>
      <c r="F40" s="170">
        <v>0</v>
      </c>
      <c r="G40" s="170">
        <v>5</v>
      </c>
      <c r="H40" s="495">
        <v>5</v>
      </c>
      <c r="I40" s="495">
        <v>10</v>
      </c>
      <c r="J40" s="495">
        <v>0</v>
      </c>
      <c r="K40" s="495">
        <v>0</v>
      </c>
      <c r="L40" s="495">
        <v>20</v>
      </c>
      <c r="M40" s="495"/>
      <c r="N40" s="495">
        <v>20</v>
      </c>
      <c r="O40" s="495">
        <v>0</v>
      </c>
      <c r="P40" s="495">
        <v>0</v>
      </c>
      <c r="Q40" s="164">
        <v>25</v>
      </c>
      <c r="R40" s="495">
        <v>0</v>
      </c>
      <c r="S40" s="495">
        <v>0</v>
      </c>
      <c r="T40" s="164">
        <v>25</v>
      </c>
      <c r="U40" s="495">
        <v>20</v>
      </c>
      <c r="V40" s="495">
        <v>5</v>
      </c>
      <c r="W40" s="164">
        <f t="shared" si="4"/>
        <v>100</v>
      </c>
      <c r="X40" s="495"/>
      <c r="Y40" s="495"/>
      <c r="Z40" s="495"/>
      <c r="AA40" s="164">
        <f t="shared" si="5"/>
        <v>150</v>
      </c>
      <c r="AB40" s="495"/>
      <c r="AC40" s="161" t="s">
        <v>933</v>
      </c>
    </row>
    <row r="41" spans="1:29" ht="49.8" customHeight="1" x14ac:dyDescent="0.25">
      <c r="A41" s="131" t="s">
        <v>872</v>
      </c>
      <c r="B41" s="495" t="s">
        <v>837</v>
      </c>
      <c r="C41" s="495" t="s">
        <v>821</v>
      </c>
      <c r="D41" s="495" t="s">
        <v>822</v>
      </c>
      <c r="E41" s="495">
        <v>0</v>
      </c>
      <c r="F41" s="170">
        <v>0</v>
      </c>
      <c r="G41" s="170">
        <v>1</v>
      </c>
      <c r="H41" s="495">
        <v>0</v>
      </c>
      <c r="I41" s="495">
        <v>1</v>
      </c>
      <c r="J41" s="495">
        <v>0</v>
      </c>
      <c r="K41" s="495">
        <v>0</v>
      </c>
      <c r="L41" s="495">
        <v>1</v>
      </c>
      <c r="M41" s="495"/>
      <c r="N41" s="495">
        <v>1</v>
      </c>
      <c r="O41" s="495">
        <v>0</v>
      </c>
      <c r="P41" s="495">
        <v>0</v>
      </c>
      <c r="Q41" s="164">
        <v>25</v>
      </c>
      <c r="R41" s="495">
        <v>0</v>
      </c>
      <c r="S41" s="495">
        <v>0</v>
      </c>
      <c r="T41" s="164">
        <v>25</v>
      </c>
      <c r="U41" s="495">
        <v>1</v>
      </c>
      <c r="V41" s="495">
        <v>1</v>
      </c>
      <c r="W41" s="164">
        <f t="shared" si="4"/>
        <v>25</v>
      </c>
      <c r="X41" s="495"/>
      <c r="Y41" s="495"/>
      <c r="Z41" s="495"/>
      <c r="AA41" s="163">
        <f t="shared" si="5"/>
        <v>75</v>
      </c>
      <c r="AB41" s="495"/>
      <c r="AC41" s="529" t="s">
        <v>934</v>
      </c>
    </row>
    <row r="42" spans="1:29" ht="75" customHeight="1" x14ac:dyDescent="0.3">
      <c r="A42" s="495" t="s">
        <v>427</v>
      </c>
      <c r="B42" s="495" t="s">
        <v>428</v>
      </c>
      <c r="C42" s="495" t="s">
        <v>429</v>
      </c>
      <c r="D42" s="495" t="s">
        <v>470</v>
      </c>
      <c r="E42" s="495">
        <v>0</v>
      </c>
      <c r="F42" s="170">
        <v>22</v>
      </c>
      <c r="G42" s="170">
        <v>2</v>
      </c>
      <c r="H42" s="495"/>
      <c r="I42" s="495">
        <v>24</v>
      </c>
      <c r="J42" s="495">
        <v>0</v>
      </c>
      <c r="K42" s="495">
        <v>22</v>
      </c>
      <c r="L42" s="495">
        <v>2</v>
      </c>
      <c r="M42" s="495"/>
      <c r="N42" s="495">
        <v>24</v>
      </c>
      <c r="O42" s="495">
        <v>0</v>
      </c>
      <c r="P42" s="495">
        <v>0</v>
      </c>
      <c r="Q42" s="164">
        <v>25</v>
      </c>
      <c r="R42" s="495">
        <v>22</v>
      </c>
      <c r="S42" s="495">
        <v>22</v>
      </c>
      <c r="T42" s="164">
        <v>25</v>
      </c>
      <c r="U42" s="495">
        <v>2</v>
      </c>
      <c r="V42" s="495">
        <v>2</v>
      </c>
      <c r="W42" s="164">
        <f t="shared" si="4"/>
        <v>25</v>
      </c>
      <c r="X42" s="495"/>
      <c r="Y42" s="495"/>
      <c r="Z42" s="495"/>
      <c r="AA42" s="163">
        <f t="shared" si="5"/>
        <v>75</v>
      </c>
      <c r="AB42" s="495" t="s">
        <v>506</v>
      </c>
      <c r="AC42" s="161" t="s">
        <v>935</v>
      </c>
    </row>
    <row r="43" spans="1:29" ht="75" customHeight="1" x14ac:dyDescent="0.3">
      <c r="A43" s="495" t="s">
        <v>427</v>
      </c>
      <c r="B43" s="495" t="s">
        <v>430</v>
      </c>
      <c r="C43" s="495" t="s">
        <v>431</v>
      </c>
      <c r="D43" s="495" t="s">
        <v>463</v>
      </c>
      <c r="E43" s="495">
        <v>58</v>
      </c>
      <c r="F43" s="171">
        <v>190</v>
      </c>
      <c r="G43" s="170">
        <v>130</v>
      </c>
      <c r="H43" s="495"/>
      <c r="I43" s="170">
        <f>E43+F43+G43+H43</f>
        <v>378</v>
      </c>
      <c r="J43" s="495">
        <v>58</v>
      </c>
      <c r="K43" s="495">
        <v>190</v>
      </c>
      <c r="L43" s="495">
        <v>130</v>
      </c>
      <c r="M43" s="495"/>
      <c r="N43" s="495">
        <f>J43+K43+L43+M43</f>
        <v>378</v>
      </c>
      <c r="O43" s="495">
        <v>58</v>
      </c>
      <c r="P43" s="495">
        <v>58</v>
      </c>
      <c r="Q43" s="164">
        <f t="shared" si="3"/>
        <v>25</v>
      </c>
      <c r="R43" s="495">
        <v>190</v>
      </c>
      <c r="S43" s="495">
        <v>190</v>
      </c>
      <c r="T43" s="164">
        <v>25</v>
      </c>
      <c r="U43" s="495">
        <v>130</v>
      </c>
      <c r="V43" s="495">
        <v>130</v>
      </c>
      <c r="W43" s="164">
        <f t="shared" si="4"/>
        <v>25</v>
      </c>
      <c r="X43" s="495"/>
      <c r="Y43" s="495"/>
      <c r="Z43" s="495"/>
      <c r="AA43" s="163">
        <f t="shared" si="5"/>
        <v>75</v>
      </c>
      <c r="AB43" s="495" t="s">
        <v>507</v>
      </c>
      <c r="AC43" s="161" t="s">
        <v>936</v>
      </c>
    </row>
    <row r="44" spans="1:29" ht="77.400000000000006" customHeight="1" x14ac:dyDescent="0.3">
      <c r="A44" s="495" t="s">
        <v>427</v>
      </c>
      <c r="B44" s="78" t="s">
        <v>879</v>
      </c>
      <c r="C44" s="495" t="s">
        <v>432</v>
      </c>
      <c r="D44" s="495" t="s">
        <v>471</v>
      </c>
      <c r="E44" s="171">
        <v>2496</v>
      </c>
      <c r="F44" s="171">
        <v>824</v>
      </c>
      <c r="G44" s="171">
        <v>938</v>
      </c>
      <c r="H44" s="171"/>
      <c r="I44" s="170">
        <f>E44+F44+G44+H44</f>
        <v>4258</v>
      </c>
      <c r="J44" s="495">
        <v>2496</v>
      </c>
      <c r="K44" s="495">
        <v>824</v>
      </c>
      <c r="L44" s="495">
        <v>938</v>
      </c>
      <c r="M44" s="495"/>
      <c r="N44" s="495">
        <f>J44+K44+L44+M44</f>
        <v>4258</v>
      </c>
      <c r="O44" s="495">
        <v>2496</v>
      </c>
      <c r="P44" s="171">
        <v>2380</v>
      </c>
      <c r="Q44" s="178">
        <f t="shared" si="3"/>
        <v>26.218487394957986</v>
      </c>
      <c r="R44" s="495">
        <v>824</v>
      </c>
      <c r="S44" s="495">
        <v>2380</v>
      </c>
      <c r="T44" s="177">
        <f>(R44/S44)*25</f>
        <v>8.655462184873949</v>
      </c>
      <c r="U44" s="495">
        <v>938</v>
      </c>
      <c r="V44" s="495">
        <v>2380</v>
      </c>
      <c r="W44" s="177">
        <f t="shared" si="4"/>
        <v>9.8529411764705888</v>
      </c>
      <c r="X44" s="495"/>
      <c r="Y44" s="495"/>
      <c r="Z44" s="495"/>
      <c r="AA44" s="177">
        <f t="shared" si="5"/>
        <v>44.726890756302524</v>
      </c>
      <c r="AB44" s="495" t="s">
        <v>508</v>
      </c>
      <c r="AC44" s="161" t="s">
        <v>937</v>
      </c>
    </row>
    <row r="45" spans="1:29" ht="49.8" customHeight="1" x14ac:dyDescent="0.25">
      <c r="A45" s="495" t="s">
        <v>427</v>
      </c>
      <c r="B45" s="495" t="s">
        <v>433</v>
      </c>
      <c r="C45" s="495" t="s">
        <v>473</v>
      </c>
      <c r="D45" s="495" t="s">
        <v>472</v>
      </c>
      <c r="E45" s="495">
        <v>5</v>
      </c>
      <c r="F45" s="171">
        <v>20</v>
      </c>
      <c r="G45" s="170">
        <v>25</v>
      </c>
      <c r="H45" s="495">
        <v>24</v>
      </c>
      <c r="I45" s="495">
        <v>74</v>
      </c>
      <c r="J45" s="495">
        <v>5</v>
      </c>
      <c r="K45" s="495">
        <v>19</v>
      </c>
      <c r="L45" s="495">
        <v>29</v>
      </c>
      <c r="M45" s="495"/>
      <c r="N45" s="495">
        <f>J45+K45+L45+M45</f>
        <v>53</v>
      </c>
      <c r="O45" s="495">
        <v>5</v>
      </c>
      <c r="P45" s="495">
        <v>5</v>
      </c>
      <c r="Q45" s="164">
        <f t="shared" si="3"/>
        <v>25</v>
      </c>
      <c r="R45" s="495">
        <v>19</v>
      </c>
      <c r="S45" s="495">
        <v>20</v>
      </c>
      <c r="T45" s="178">
        <f>(R45/S45)*25</f>
        <v>23.75</v>
      </c>
      <c r="U45" s="495">
        <v>29</v>
      </c>
      <c r="V45" s="495">
        <v>25</v>
      </c>
      <c r="W45" s="164">
        <f t="shared" si="4"/>
        <v>28.999999999999996</v>
      </c>
      <c r="X45" s="495"/>
      <c r="Y45" s="495"/>
      <c r="Z45" s="495"/>
      <c r="AA45" s="180">
        <f t="shared" si="5"/>
        <v>77.75</v>
      </c>
      <c r="AB45" s="495" t="s">
        <v>509</v>
      </c>
      <c r="AC45" s="530" t="s">
        <v>938</v>
      </c>
    </row>
    <row r="46" spans="1:29" ht="104.4" customHeight="1" x14ac:dyDescent="0.3">
      <c r="A46" s="495" t="s">
        <v>427</v>
      </c>
      <c r="B46" s="495" t="s">
        <v>434</v>
      </c>
      <c r="C46" s="495" t="s">
        <v>474</v>
      </c>
      <c r="D46" s="495" t="s">
        <v>475</v>
      </c>
      <c r="E46" s="495">
        <v>0</v>
      </c>
      <c r="F46" s="171">
        <v>25</v>
      </c>
      <c r="G46" s="170">
        <v>25</v>
      </c>
      <c r="H46" s="495">
        <v>24</v>
      </c>
      <c r="I46" s="495">
        <v>74</v>
      </c>
      <c r="J46" s="495">
        <v>0</v>
      </c>
      <c r="K46" s="495">
        <v>33</v>
      </c>
      <c r="L46" s="495">
        <v>24</v>
      </c>
      <c r="M46" s="495"/>
      <c r="N46" s="495">
        <f>K46+L46+M46</f>
        <v>57</v>
      </c>
      <c r="O46" s="495">
        <v>0</v>
      </c>
      <c r="P46" s="495">
        <v>0</v>
      </c>
      <c r="Q46" s="164">
        <v>25</v>
      </c>
      <c r="R46" s="495">
        <v>33</v>
      </c>
      <c r="S46" s="495">
        <v>25</v>
      </c>
      <c r="T46" s="164">
        <f>(R46/S46)*25</f>
        <v>33</v>
      </c>
      <c r="U46" s="495">
        <v>24</v>
      </c>
      <c r="V46" s="495">
        <v>25</v>
      </c>
      <c r="W46" s="164">
        <f t="shared" si="4"/>
        <v>24</v>
      </c>
      <c r="X46" s="495"/>
      <c r="Y46" s="495"/>
      <c r="Z46" s="495"/>
      <c r="AA46" s="163">
        <f t="shared" si="5"/>
        <v>82</v>
      </c>
      <c r="AB46" s="495" t="s">
        <v>510</v>
      </c>
      <c r="AC46" s="161" t="s">
        <v>960</v>
      </c>
    </row>
    <row r="47" spans="1:29" ht="87" customHeight="1" x14ac:dyDescent="0.3">
      <c r="A47" s="495" t="s">
        <v>427</v>
      </c>
      <c r="B47" s="495" t="s">
        <v>435</v>
      </c>
      <c r="C47" s="495" t="s">
        <v>436</v>
      </c>
      <c r="D47" s="495" t="s">
        <v>476</v>
      </c>
      <c r="E47" s="495">
        <v>0</v>
      </c>
      <c r="F47" s="171">
        <v>8</v>
      </c>
      <c r="G47" s="170">
        <v>10</v>
      </c>
      <c r="H47" s="495">
        <v>8</v>
      </c>
      <c r="I47" s="495">
        <v>26</v>
      </c>
      <c r="J47" s="495">
        <v>0</v>
      </c>
      <c r="K47" s="495">
        <v>1</v>
      </c>
      <c r="L47" s="495">
        <v>12</v>
      </c>
      <c r="M47" s="495"/>
      <c r="N47" s="495">
        <v>13</v>
      </c>
      <c r="O47" s="495">
        <v>0</v>
      </c>
      <c r="P47" s="495">
        <v>0</v>
      </c>
      <c r="Q47" s="164">
        <v>25</v>
      </c>
      <c r="R47" s="495">
        <v>1</v>
      </c>
      <c r="S47" s="495">
        <v>8</v>
      </c>
      <c r="T47" s="177">
        <f>(R47/S47)*25</f>
        <v>3.125</v>
      </c>
      <c r="U47" s="495">
        <v>12</v>
      </c>
      <c r="V47" s="495">
        <v>10</v>
      </c>
      <c r="W47" s="164">
        <f t="shared" si="4"/>
        <v>30</v>
      </c>
      <c r="X47" s="495"/>
      <c r="Y47" s="495"/>
      <c r="Z47" s="495"/>
      <c r="AA47" s="177">
        <f t="shared" si="5"/>
        <v>58.125</v>
      </c>
      <c r="AB47" s="495" t="s">
        <v>511</v>
      </c>
      <c r="AC47" s="161" t="s">
        <v>939</v>
      </c>
    </row>
    <row r="48" spans="1:29" ht="49.8" customHeight="1" x14ac:dyDescent="0.3">
      <c r="A48" s="495" t="s">
        <v>427</v>
      </c>
      <c r="B48" s="495" t="s">
        <v>437</v>
      </c>
      <c r="C48" s="495" t="s">
        <v>404</v>
      </c>
      <c r="D48" s="495" t="s">
        <v>477</v>
      </c>
      <c r="E48" s="495">
        <v>1</v>
      </c>
      <c r="F48" s="171">
        <v>1</v>
      </c>
      <c r="G48" s="170">
        <v>1</v>
      </c>
      <c r="H48" s="495">
        <v>1</v>
      </c>
      <c r="I48" s="495">
        <v>4</v>
      </c>
      <c r="J48" s="214" t="s">
        <v>880</v>
      </c>
      <c r="K48" s="214" t="s">
        <v>880</v>
      </c>
      <c r="L48" s="495">
        <v>5</v>
      </c>
      <c r="M48" s="495"/>
      <c r="N48" s="495">
        <v>5</v>
      </c>
      <c r="O48" s="495">
        <v>1</v>
      </c>
      <c r="P48" s="495">
        <v>1</v>
      </c>
      <c r="Q48" s="164">
        <f t="shared" si="3"/>
        <v>25</v>
      </c>
      <c r="R48" s="495">
        <v>1</v>
      </c>
      <c r="S48" s="495">
        <v>1</v>
      </c>
      <c r="T48" s="164">
        <v>25</v>
      </c>
      <c r="U48" s="495">
        <v>5</v>
      </c>
      <c r="V48" s="495">
        <v>1</v>
      </c>
      <c r="W48" s="164">
        <f t="shared" si="4"/>
        <v>125</v>
      </c>
      <c r="X48" s="495"/>
      <c r="Y48" s="495"/>
      <c r="Z48" s="495"/>
      <c r="AA48" s="164">
        <f t="shared" si="5"/>
        <v>175</v>
      </c>
      <c r="AB48" s="495" t="s">
        <v>512</v>
      </c>
      <c r="AC48" s="161" t="s">
        <v>961</v>
      </c>
    </row>
    <row r="49" spans="1:86" ht="76.2" customHeight="1" x14ac:dyDescent="0.3">
      <c r="A49" s="495" t="s">
        <v>427</v>
      </c>
      <c r="B49" s="495" t="s">
        <v>438</v>
      </c>
      <c r="C49" s="495" t="s">
        <v>439</v>
      </c>
      <c r="D49" s="495" t="s">
        <v>478</v>
      </c>
      <c r="E49" s="495">
        <v>0</v>
      </c>
      <c r="F49" s="171">
        <v>2</v>
      </c>
      <c r="G49" s="170">
        <v>4</v>
      </c>
      <c r="H49" s="495">
        <v>4</v>
      </c>
      <c r="I49" s="495">
        <v>10</v>
      </c>
      <c r="J49" s="495">
        <v>0</v>
      </c>
      <c r="K49" s="495">
        <v>1</v>
      </c>
      <c r="L49" s="495">
        <v>3</v>
      </c>
      <c r="M49" s="495"/>
      <c r="N49" s="495">
        <v>4</v>
      </c>
      <c r="O49" s="495">
        <v>0</v>
      </c>
      <c r="P49" s="495">
        <v>0</v>
      </c>
      <c r="Q49" s="164">
        <v>25</v>
      </c>
      <c r="R49" s="495">
        <v>1</v>
      </c>
      <c r="S49" s="495">
        <v>2</v>
      </c>
      <c r="T49" s="177">
        <f>(R49/S49)*25</f>
        <v>12.5</v>
      </c>
      <c r="U49" s="495">
        <v>3</v>
      </c>
      <c r="V49" s="495">
        <v>4</v>
      </c>
      <c r="W49" s="180">
        <f t="shared" si="4"/>
        <v>18.75</v>
      </c>
      <c r="X49" s="495"/>
      <c r="Y49" s="495"/>
      <c r="Z49" s="495"/>
      <c r="AA49" s="177">
        <f t="shared" si="5"/>
        <v>56.25</v>
      </c>
      <c r="AB49" s="495" t="s">
        <v>513</v>
      </c>
      <c r="AC49" s="161" t="s">
        <v>940</v>
      </c>
    </row>
    <row r="50" spans="1:86" ht="103.2" customHeight="1" x14ac:dyDescent="0.3">
      <c r="A50" s="495" t="s">
        <v>427</v>
      </c>
      <c r="B50" s="495" t="s">
        <v>440</v>
      </c>
      <c r="C50" s="495" t="s">
        <v>441</v>
      </c>
      <c r="D50" s="495" t="s">
        <v>442</v>
      </c>
      <c r="E50" s="495">
        <v>5</v>
      </c>
      <c r="F50" s="171">
        <v>5</v>
      </c>
      <c r="G50" s="170">
        <v>5</v>
      </c>
      <c r="H50" s="495">
        <v>5</v>
      </c>
      <c r="I50" s="495">
        <v>20</v>
      </c>
      <c r="J50" s="495">
        <v>5</v>
      </c>
      <c r="K50" s="495">
        <v>24</v>
      </c>
      <c r="L50" s="495">
        <v>3</v>
      </c>
      <c r="M50" s="495"/>
      <c r="N50" s="495">
        <f>J50+K50+L50</f>
        <v>32</v>
      </c>
      <c r="O50" s="495">
        <v>5</v>
      </c>
      <c r="P50" s="495">
        <v>5</v>
      </c>
      <c r="Q50" s="164">
        <v>25</v>
      </c>
      <c r="R50" s="495">
        <v>24</v>
      </c>
      <c r="S50" s="495">
        <v>5</v>
      </c>
      <c r="T50" s="164">
        <f>(R50/S50)*25</f>
        <v>120</v>
      </c>
      <c r="U50" s="495">
        <v>3</v>
      </c>
      <c r="V50" s="495">
        <v>5</v>
      </c>
      <c r="W50" s="162">
        <f t="shared" si="4"/>
        <v>15</v>
      </c>
      <c r="X50" s="495"/>
      <c r="Y50" s="495"/>
      <c r="Z50" s="495"/>
      <c r="AA50" s="164">
        <f t="shared" si="5"/>
        <v>160</v>
      </c>
      <c r="AB50" s="495" t="s">
        <v>514</v>
      </c>
      <c r="AC50" s="161" t="s">
        <v>941</v>
      </c>
    </row>
    <row r="51" spans="1:86" ht="60.6" customHeight="1" x14ac:dyDescent="0.3">
      <c r="A51" s="495" t="s">
        <v>427</v>
      </c>
      <c r="B51" s="495" t="s">
        <v>841</v>
      </c>
      <c r="C51" s="495" t="s">
        <v>443</v>
      </c>
      <c r="D51" s="495" t="s">
        <v>479</v>
      </c>
      <c r="E51" s="495">
        <v>4</v>
      </c>
      <c r="F51" s="171">
        <v>4</v>
      </c>
      <c r="G51" s="170">
        <v>4</v>
      </c>
      <c r="H51" s="495">
        <v>4</v>
      </c>
      <c r="I51" s="170">
        <f>E51+F51+G51+H51</f>
        <v>16</v>
      </c>
      <c r="J51" s="495">
        <v>4</v>
      </c>
      <c r="K51" s="495">
        <v>1</v>
      </c>
      <c r="L51" s="495"/>
      <c r="M51" s="495"/>
      <c r="N51" s="495">
        <v>5</v>
      </c>
      <c r="O51" s="495">
        <v>4</v>
      </c>
      <c r="P51" s="495">
        <v>4</v>
      </c>
      <c r="Q51" s="164">
        <f t="shared" si="3"/>
        <v>25</v>
      </c>
      <c r="R51" s="495">
        <v>0</v>
      </c>
      <c r="S51" s="495">
        <v>4</v>
      </c>
      <c r="T51" s="162">
        <f>(R51/S51)*25</f>
        <v>0</v>
      </c>
      <c r="U51" s="495">
        <v>1</v>
      </c>
      <c r="V51" s="495">
        <v>4</v>
      </c>
      <c r="W51" s="177">
        <f t="shared" si="4"/>
        <v>6.25</v>
      </c>
      <c r="X51" s="495"/>
      <c r="Y51" s="495"/>
      <c r="Z51" s="495"/>
      <c r="AA51" s="177">
        <f t="shared" si="5"/>
        <v>31.25</v>
      </c>
      <c r="AB51" s="495" t="s">
        <v>515</v>
      </c>
      <c r="AC51" s="161" t="s">
        <v>942</v>
      </c>
    </row>
    <row r="52" spans="1:86" ht="49.8" customHeight="1" x14ac:dyDescent="0.3">
      <c r="A52" s="495"/>
      <c r="B52" s="495" t="s">
        <v>842</v>
      </c>
      <c r="C52" s="495" t="s">
        <v>845</v>
      </c>
      <c r="D52" s="495" t="s">
        <v>846</v>
      </c>
      <c r="E52" s="495">
        <v>0</v>
      </c>
      <c r="F52" s="171">
        <v>3</v>
      </c>
      <c r="G52" s="170">
        <v>3</v>
      </c>
      <c r="H52" s="495">
        <v>2</v>
      </c>
      <c r="I52" s="495">
        <v>8</v>
      </c>
      <c r="J52" s="495">
        <v>0</v>
      </c>
      <c r="K52" s="495">
        <v>3</v>
      </c>
      <c r="L52" s="495"/>
      <c r="M52" s="495"/>
      <c r="N52" s="495">
        <v>3</v>
      </c>
      <c r="O52" s="495">
        <v>0</v>
      </c>
      <c r="P52" s="495">
        <v>0</v>
      </c>
      <c r="Q52" s="164">
        <v>25</v>
      </c>
      <c r="R52" s="495">
        <v>3</v>
      </c>
      <c r="S52" s="495">
        <v>3</v>
      </c>
      <c r="T52" s="164">
        <v>25</v>
      </c>
      <c r="U52" s="495">
        <v>3</v>
      </c>
      <c r="V52" s="495">
        <v>3</v>
      </c>
      <c r="W52" s="164">
        <f t="shared" si="4"/>
        <v>25</v>
      </c>
      <c r="X52" s="495"/>
      <c r="Y52" s="495"/>
      <c r="Z52" s="495"/>
      <c r="AA52" s="164">
        <f>Q52+T52+W52+Z52</f>
        <v>75</v>
      </c>
      <c r="AB52" s="495"/>
      <c r="AC52" s="161"/>
    </row>
    <row r="53" spans="1:86" ht="72" customHeight="1" x14ac:dyDescent="0.3">
      <c r="A53" s="495"/>
      <c r="B53" s="495" t="s">
        <v>843</v>
      </c>
      <c r="C53" s="495" t="s">
        <v>830</v>
      </c>
      <c r="D53" s="495" t="s">
        <v>523</v>
      </c>
      <c r="E53" s="495">
        <v>0</v>
      </c>
      <c r="F53" s="171">
        <v>0</v>
      </c>
      <c r="G53" s="170">
        <v>0</v>
      </c>
      <c r="H53" s="495">
        <v>1</v>
      </c>
      <c r="I53" s="495">
        <v>1</v>
      </c>
      <c r="J53" s="495">
        <v>0</v>
      </c>
      <c r="K53" s="495">
        <v>0</v>
      </c>
      <c r="L53" s="495"/>
      <c r="M53" s="495"/>
      <c r="N53" s="495">
        <v>0</v>
      </c>
      <c r="O53" s="495">
        <v>0</v>
      </c>
      <c r="P53" s="495">
        <v>0</v>
      </c>
      <c r="Q53" s="164">
        <v>25</v>
      </c>
      <c r="R53" s="495">
        <v>0</v>
      </c>
      <c r="S53" s="495">
        <v>0</v>
      </c>
      <c r="T53" s="164">
        <v>25</v>
      </c>
      <c r="U53" s="495">
        <v>0</v>
      </c>
      <c r="V53" s="495">
        <v>0</v>
      </c>
      <c r="W53" s="164">
        <v>25</v>
      </c>
      <c r="X53" s="495"/>
      <c r="Y53" s="495"/>
      <c r="Z53" s="495"/>
      <c r="AA53" s="164">
        <f t="shared" si="5"/>
        <v>75</v>
      </c>
      <c r="AB53" s="495"/>
      <c r="AC53" s="161"/>
    </row>
    <row r="54" spans="1:86" ht="69" customHeight="1" x14ac:dyDescent="0.3">
      <c r="A54" s="495"/>
      <c r="B54" s="495" t="s">
        <v>844</v>
      </c>
      <c r="C54" s="495" t="s">
        <v>847</v>
      </c>
      <c r="D54" s="495" t="s">
        <v>848</v>
      </c>
      <c r="E54" s="495">
        <v>25</v>
      </c>
      <c r="F54" s="171">
        <v>25</v>
      </c>
      <c r="G54" s="170"/>
      <c r="H54" s="495"/>
      <c r="I54" s="495">
        <v>50</v>
      </c>
      <c r="J54" s="495">
        <v>25</v>
      </c>
      <c r="K54" s="495">
        <v>25</v>
      </c>
      <c r="L54" s="495"/>
      <c r="M54" s="495"/>
      <c r="N54" s="495">
        <v>50</v>
      </c>
      <c r="O54" s="495">
        <v>25</v>
      </c>
      <c r="P54" s="495">
        <v>25</v>
      </c>
      <c r="Q54" s="164">
        <v>25</v>
      </c>
      <c r="R54" s="495">
        <v>25</v>
      </c>
      <c r="S54" s="495">
        <v>25</v>
      </c>
      <c r="T54" s="164">
        <v>25</v>
      </c>
      <c r="U54" s="495"/>
      <c r="V54" s="495"/>
      <c r="W54" s="161"/>
      <c r="X54" s="495"/>
      <c r="Y54" s="495"/>
      <c r="Z54" s="495"/>
      <c r="AA54" s="162">
        <f t="shared" si="5"/>
        <v>50</v>
      </c>
      <c r="AB54" s="495"/>
      <c r="AC54" s="161"/>
    </row>
    <row r="55" spans="1:86" s="191" customFormat="1" ht="49.8" customHeight="1" x14ac:dyDescent="0.3">
      <c r="A55" s="210"/>
      <c r="B55" s="210"/>
      <c r="C55" s="210"/>
      <c r="D55" s="210"/>
      <c r="E55" s="210"/>
      <c r="F55" s="211"/>
      <c r="G55" s="212"/>
      <c r="H55" s="210"/>
      <c r="I55" s="210"/>
      <c r="J55" s="210"/>
      <c r="K55" s="210"/>
      <c r="L55" s="210"/>
      <c r="M55" s="210"/>
      <c r="N55" s="210"/>
      <c r="O55" s="210"/>
      <c r="P55" s="210"/>
      <c r="Q55" s="210"/>
      <c r="R55" s="210"/>
      <c r="S55" s="210"/>
      <c r="T55" s="210"/>
      <c r="U55" s="210"/>
      <c r="V55" s="210"/>
      <c r="W55" s="210"/>
      <c r="X55" s="210"/>
      <c r="Y55" s="210"/>
      <c r="Z55" s="210"/>
      <c r="AA55" s="210"/>
      <c r="AB55" s="210"/>
      <c r="AC55" s="210"/>
      <c r="AD55" s="730"/>
      <c r="AE55" s="730"/>
      <c r="AF55" s="730"/>
      <c r="AG55" s="730"/>
      <c r="AH55" s="730"/>
      <c r="AI55" s="730"/>
      <c r="AJ55" s="730"/>
      <c r="AK55" s="730"/>
      <c r="AL55" s="730"/>
      <c r="AM55" s="730"/>
      <c r="AN55" s="730"/>
      <c r="AO55" s="730"/>
      <c r="AP55" s="730"/>
      <c r="AQ55" s="730"/>
      <c r="AR55" s="730"/>
      <c r="AS55" s="730"/>
      <c r="AT55" s="730"/>
      <c r="AU55" s="730"/>
      <c r="AV55" s="730"/>
      <c r="AW55" s="730"/>
      <c r="AX55" s="730"/>
      <c r="AY55" s="730"/>
      <c r="AZ55" s="730"/>
      <c r="BA55" s="730"/>
      <c r="BB55" s="730"/>
      <c r="BC55" s="730"/>
      <c r="BD55" s="730"/>
      <c r="BE55" s="730"/>
      <c r="BF55" s="730"/>
      <c r="BG55" s="730"/>
      <c r="BH55" s="730"/>
      <c r="BI55" s="730"/>
      <c r="BJ55" s="730"/>
      <c r="BK55" s="730"/>
      <c r="BL55" s="730"/>
      <c r="BM55" s="730"/>
      <c r="BN55" s="730"/>
      <c r="BO55" s="730"/>
      <c r="BP55" s="730"/>
      <c r="BQ55" s="730"/>
      <c r="BR55" s="730"/>
      <c r="BS55" s="730"/>
      <c r="BT55" s="730"/>
      <c r="BU55" s="730"/>
      <c r="BV55" s="730"/>
      <c r="BW55" s="730"/>
      <c r="BX55" s="730"/>
      <c r="BY55" s="730"/>
      <c r="BZ55" s="730"/>
      <c r="CA55" s="730"/>
      <c r="CB55" s="730"/>
      <c r="CC55" s="730"/>
      <c r="CD55" s="730"/>
      <c r="CE55" s="730"/>
      <c r="CF55" s="730"/>
      <c r="CG55" s="730"/>
      <c r="CH55" s="730"/>
    </row>
    <row r="56" spans="1:86" ht="49.8" customHeight="1" x14ac:dyDescent="0.3">
      <c r="A56" s="80" t="s">
        <v>389</v>
      </c>
      <c r="B56" s="80" t="s">
        <v>870</v>
      </c>
      <c r="C56" s="205"/>
      <c r="D56" s="205"/>
      <c r="E56" s="206">
        <v>0</v>
      </c>
      <c r="F56" s="207">
        <v>0</v>
      </c>
      <c r="G56" s="208">
        <v>0</v>
      </c>
      <c r="H56" s="206">
        <v>0</v>
      </c>
      <c r="I56" s="206">
        <v>1</v>
      </c>
      <c r="J56" s="206">
        <v>0</v>
      </c>
      <c r="K56" s="206">
        <v>0</v>
      </c>
      <c r="L56" s="206">
        <v>0</v>
      </c>
      <c r="M56" s="206"/>
      <c r="N56" s="206">
        <f t="shared" ref="N56" si="6">J56+K56+L56</f>
        <v>0</v>
      </c>
      <c r="O56" s="492"/>
      <c r="P56" s="492"/>
      <c r="Q56" s="194"/>
      <c r="R56" s="492"/>
      <c r="S56" s="492"/>
      <c r="T56" s="731"/>
      <c r="U56" s="492"/>
      <c r="V56" s="193"/>
      <c r="W56" s="731"/>
      <c r="X56" s="492"/>
      <c r="Y56" s="492"/>
      <c r="Z56" s="492"/>
      <c r="AA56" s="731"/>
      <c r="AB56" s="80"/>
      <c r="AC56" s="161"/>
      <c r="AE56" s="730"/>
      <c r="AF56" s="730"/>
      <c r="AG56" s="730"/>
      <c r="AH56" s="730"/>
      <c r="AI56" s="730"/>
      <c r="AJ56" s="730"/>
      <c r="AK56" s="730"/>
      <c r="AL56" s="730"/>
      <c r="AM56" s="730"/>
      <c r="AN56" s="730"/>
      <c r="AO56" s="730"/>
      <c r="AP56" s="730"/>
      <c r="AQ56" s="730"/>
      <c r="AR56" s="730"/>
      <c r="AS56" s="730"/>
      <c r="AT56" s="730"/>
      <c r="AU56" s="730"/>
      <c r="AV56" s="730"/>
      <c r="AW56" s="730"/>
      <c r="AX56" s="730"/>
      <c r="AY56" s="730"/>
      <c r="AZ56" s="730"/>
      <c r="BA56" s="730"/>
      <c r="BB56" s="730"/>
      <c r="BC56" s="730"/>
      <c r="BD56" s="730"/>
      <c r="BE56" s="730"/>
      <c r="BF56" s="730"/>
      <c r="BG56" s="730"/>
      <c r="BH56" s="730"/>
      <c r="BI56" s="730"/>
      <c r="BJ56" s="730"/>
      <c r="BK56" s="730"/>
      <c r="BL56" s="730"/>
      <c r="BM56" s="730"/>
      <c r="BN56" s="730"/>
      <c r="BO56" s="730"/>
      <c r="BP56" s="730"/>
      <c r="BQ56" s="730"/>
      <c r="BR56" s="730"/>
      <c r="BS56" s="730"/>
      <c r="BT56" s="730"/>
      <c r="BU56" s="730"/>
      <c r="BV56" s="730"/>
      <c r="BW56" s="730"/>
      <c r="BX56" s="730"/>
      <c r="BY56" s="730"/>
      <c r="BZ56" s="730"/>
      <c r="CA56" s="730"/>
      <c r="CB56" s="730"/>
      <c r="CC56" s="730"/>
      <c r="CD56" s="730"/>
      <c r="CE56" s="730"/>
      <c r="CF56" s="730"/>
      <c r="CG56" s="730"/>
      <c r="CH56" s="730"/>
    </row>
    <row r="57" spans="1:86" ht="97.8" customHeight="1" x14ac:dyDescent="0.3">
      <c r="A57" s="80" t="s">
        <v>389</v>
      </c>
      <c r="B57" s="80" t="s">
        <v>871</v>
      </c>
      <c r="C57" s="205"/>
      <c r="D57" s="205"/>
      <c r="E57" s="206"/>
      <c r="F57" s="207"/>
      <c r="G57" s="208"/>
      <c r="H57" s="206"/>
      <c r="I57" s="206"/>
      <c r="J57" s="206"/>
      <c r="K57" s="206"/>
      <c r="L57" s="206">
        <v>52</v>
      </c>
      <c r="M57" s="206"/>
      <c r="N57" s="206"/>
      <c r="O57" s="492"/>
      <c r="P57" s="492"/>
      <c r="Q57" s="194"/>
      <c r="R57" s="492"/>
      <c r="S57" s="492"/>
      <c r="T57" s="731"/>
      <c r="U57" s="492"/>
      <c r="V57" s="193"/>
      <c r="W57" s="731"/>
      <c r="X57" s="492"/>
      <c r="Y57" s="492"/>
      <c r="Z57" s="492"/>
      <c r="AA57" s="161"/>
      <c r="AB57" s="495"/>
      <c r="AC57" s="161"/>
      <c r="AE57" s="730"/>
      <c r="AF57" s="730"/>
      <c r="AG57" s="730"/>
      <c r="AH57" s="730"/>
      <c r="AI57" s="730"/>
      <c r="AJ57" s="730"/>
      <c r="AK57" s="730"/>
      <c r="AL57" s="730"/>
      <c r="AM57" s="730"/>
      <c r="AN57" s="730"/>
      <c r="AO57" s="730"/>
      <c r="AP57" s="730"/>
      <c r="AQ57" s="730"/>
      <c r="AR57" s="730"/>
      <c r="AS57" s="730"/>
      <c r="AT57" s="730"/>
      <c r="AU57" s="730"/>
      <c r="AV57" s="730"/>
      <c r="AW57" s="730"/>
      <c r="AX57" s="730"/>
      <c r="AY57" s="730"/>
      <c r="AZ57" s="730"/>
      <c r="BA57" s="730"/>
      <c r="BB57" s="730"/>
      <c r="BC57" s="730"/>
      <c r="BD57" s="730"/>
      <c r="BE57" s="730"/>
      <c r="BF57" s="730"/>
      <c r="BG57" s="730"/>
      <c r="BH57" s="730"/>
      <c r="BI57" s="730"/>
      <c r="BJ57" s="730"/>
      <c r="BK57" s="730"/>
      <c r="BL57" s="730"/>
      <c r="BM57" s="730"/>
      <c r="BN57" s="730"/>
      <c r="BO57" s="730"/>
      <c r="BP57" s="730"/>
      <c r="BQ57" s="730"/>
      <c r="BR57" s="730"/>
      <c r="BS57" s="730"/>
      <c r="BT57" s="730"/>
      <c r="BU57" s="730"/>
      <c r="BV57" s="730"/>
      <c r="BW57" s="730"/>
      <c r="BX57" s="730"/>
      <c r="BY57" s="730"/>
      <c r="BZ57" s="730"/>
      <c r="CA57" s="730"/>
      <c r="CB57" s="730"/>
      <c r="CC57" s="730"/>
      <c r="CD57" s="730"/>
      <c r="CE57" s="730"/>
      <c r="CF57" s="730"/>
      <c r="CG57" s="730"/>
      <c r="CH57" s="730"/>
    </row>
    <row r="58" spans="1:86" ht="116.4" customHeight="1" x14ac:dyDescent="0.3">
      <c r="A58" s="198" t="s">
        <v>374</v>
      </c>
      <c r="B58" s="199" t="s">
        <v>873</v>
      </c>
      <c r="C58" s="200"/>
      <c r="D58" s="200"/>
      <c r="E58" s="198">
        <v>0</v>
      </c>
      <c r="F58" s="198">
        <v>0</v>
      </c>
      <c r="G58" s="198">
        <v>6</v>
      </c>
      <c r="H58" s="198"/>
      <c r="I58" s="198">
        <v>0</v>
      </c>
      <c r="J58" s="198">
        <v>0</v>
      </c>
      <c r="K58" s="198">
        <v>6</v>
      </c>
      <c r="L58" s="198"/>
      <c r="M58" s="198">
        <f>I58+L58+K58+J58</f>
        <v>6</v>
      </c>
      <c r="N58" s="198">
        <v>0</v>
      </c>
      <c r="O58" s="198">
        <v>0</v>
      </c>
      <c r="P58" s="213"/>
      <c r="Q58" s="148">
        <v>0.25</v>
      </c>
      <c r="R58" s="47">
        <v>0</v>
      </c>
      <c r="S58" s="47">
        <v>0</v>
      </c>
      <c r="T58" s="148">
        <v>0.25</v>
      </c>
      <c r="U58" s="47">
        <v>6</v>
      </c>
      <c r="V58" s="47">
        <v>6</v>
      </c>
      <c r="W58" s="133">
        <f t="shared" ref="W58:W62" si="7">(U58/V58)*25%</f>
        <v>0.25</v>
      </c>
      <c r="X58" s="149"/>
      <c r="Y58" s="149"/>
      <c r="Z58" s="149"/>
      <c r="AA58" s="221">
        <f>Z58+W58+T58+Q58</f>
        <v>0.75</v>
      </c>
      <c r="AB58" s="728"/>
      <c r="AC58" s="161"/>
      <c r="AE58" s="730"/>
      <c r="AF58" s="730"/>
      <c r="AG58" s="730"/>
      <c r="AH58" s="730"/>
      <c r="AI58" s="730"/>
      <c r="AJ58" s="730"/>
      <c r="AK58" s="730"/>
      <c r="AL58" s="730"/>
      <c r="AM58" s="730"/>
      <c r="AN58" s="730"/>
      <c r="AO58" s="730"/>
      <c r="AP58" s="730"/>
      <c r="AQ58" s="730"/>
      <c r="AR58" s="730"/>
      <c r="AS58" s="730"/>
      <c r="AT58" s="730"/>
      <c r="AU58" s="730"/>
      <c r="AV58" s="730"/>
      <c r="AW58" s="730"/>
      <c r="AX58" s="730"/>
      <c r="AY58" s="730"/>
      <c r="AZ58" s="730"/>
      <c r="BA58" s="730"/>
      <c r="BB58" s="730"/>
      <c r="BC58" s="730"/>
      <c r="BD58" s="730"/>
      <c r="BE58" s="730"/>
      <c r="BF58" s="730"/>
      <c r="BG58" s="730"/>
      <c r="BH58" s="730"/>
      <c r="BI58" s="730"/>
      <c r="BJ58" s="730"/>
      <c r="BK58" s="730"/>
      <c r="BL58" s="730"/>
      <c r="BM58" s="730"/>
      <c r="BN58" s="730"/>
      <c r="BO58" s="730"/>
      <c r="BP58" s="730"/>
      <c r="BQ58" s="730"/>
      <c r="BR58" s="730"/>
      <c r="BS58" s="730"/>
      <c r="BT58" s="730"/>
      <c r="BU58" s="730"/>
      <c r="BV58" s="730"/>
      <c r="BW58" s="730"/>
      <c r="BX58" s="730"/>
      <c r="BY58" s="730"/>
      <c r="BZ58" s="730"/>
      <c r="CA58" s="730"/>
      <c r="CB58" s="730"/>
      <c r="CC58" s="730"/>
      <c r="CD58" s="730"/>
      <c r="CE58" s="730"/>
      <c r="CF58" s="730"/>
      <c r="CG58" s="730"/>
      <c r="CH58" s="730"/>
    </row>
    <row r="59" spans="1:86" ht="139.19999999999999" customHeight="1" x14ac:dyDescent="0.3">
      <c r="A59" s="198" t="s">
        <v>374</v>
      </c>
      <c r="B59" s="199" t="s">
        <v>874</v>
      </c>
      <c r="C59" s="199" t="s">
        <v>875</v>
      </c>
      <c r="D59" s="199" t="s">
        <v>876</v>
      </c>
      <c r="E59" s="201">
        <v>1</v>
      </c>
      <c r="F59" s="201">
        <v>1</v>
      </c>
      <c r="G59" s="198">
        <v>1</v>
      </c>
      <c r="H59" s="202">
        <v>4</v>
      </c>
      <c r="I59" s="202">
        <v>1</v>
      </c>
      <c r="J59" s="198">
        <v>1</v>
      </c>
      <c r="K59" s="198">
        <v>1</v>
      </c>
      <c r="L59" s="198"/>
      <c r="M59" s="198">
        <f t="shared" ref="M59:M60" si="8">+I59+J59+K59</f>
        <v>3</v>
      </c>
      <c r="N59" s="202">
        <v>1</v>
      </c>
      <c r="O59" s="202">
        <v>1</v>
      </c>
      <c r="P59" s="213"/>
      <c r="Q59" s="148">
        <v>0.25</v>
      </c>
      <c r="R59" s="149">
        <v>1</v>
      </c>
      <c r="S59" s="149">
        <v>1</v>
      </c>
      <c r="T59" s="195">
        <v>0.25</v>
      </c>
      <c r="U59" s="47">
        <v>1</v>
      </c>
      <c r="V59" s="204">
        <v>1</v>
      </c>
      <c r="W59" s="133">
        <f t="shared" si="7"/>
        <v>0.25</v>
      </c>
      <c r="X59" s="149"/>
      <c r="Y59" s="149"/>
      <c r="Z59" s="149"/>
      <c r="AA59" s="221">
        <f t="shared" ref="AA59:AA60" si="9">Z59+W59+T59+Q59</f>
        <v>0.75</v>
      </c>
      <c r="AB59" s="728" t="s">
        <v>877</v>
      </c>
      <c r="AC59" s="161"/>
      <c r="AE59" s="730"/>
      <c r="AF59" s="730"/>
      <c r="AG59" s="730"/>
      <c r="AH59" s="730"/>
      <c r="AI59" s="730"/>
      <c r="AJ59" s="730"/>
      <c r="AK59" s="730"/>
      <c r="AL59" s="730"/>
      <c r="AM59" s="730"/>
      <c r="AN59" s="730"/>
      <c r="AO59" s="730"/>
      <c r="AP59" s="730"/>
      <c r="AQ59" s="730"/>
      <c r="AR59" s="730"/>
      <c r="AS59" s="730"/>
      <c r="AT59" s="730"/>
      <c r="AU59" s="730"/>
      <c r="AV59" s="730"/>
      <c r="AW59" s="730"/>
      <c r="AX59" s="730"/>
      <c r="AY59" s="730"/>
      <c r="AZ59" s="730"/>
      <c r="BA59" s="730"/>
      <c r="BB59" s="730"/>
      <c r="BC59" s="730"/>
      <c r="BD59" s="730"/>
      <c r="BE59" s="730"/>
      <c r="BF59" s="730"/>
      <c r="BG59" s="730"/>
      <c r="BH59" s="730"/>
      <c r="BI59" s="730"/>
      <c r="BJ59" s="730"/>
      <c r="BK59" s="730"/>
      <c r="BL59" s="730"/>
      <c r="BM59" s="730"/>
      <c r="BN59" s="730"/>
      <c r="BO59" s="730"/>
      <c r="BP59" s="730"/>
      <c r="BQ59" s="730"/>
      <c r="BR59" s="730"/>
      <c r="BS59" s="730"/>
      <c r="BT59" s="730"/>
      <c r="BU59" s="730"/>
      <c r="BV59" s="730"/>
      <c r="BW59" s="730"/>
      <c r="BX59" s="730"/>
      <c r="BY59" s="730"/>
      <c r="BZ59" s="730"/>
      <c r="CA59" s="730"/>
      <c r="CB59" s="730"/>
      <c r="CC59" s="730"/>
      <c r="CD59" s="730"/>
      <c r="CE59" s="730"/>
      <c r="CF59" s="730"/>
      <c r="CG59" s="730"/>
      <c r="CH59" s="730"/>
    </row>
    <row r="60" spans="1:86" ht="111.6" customHeight="1" x14ac:dyDescent="0.3">
      <c r="A60" s="198" t="s">
        <v>413</v>
      </c>
      <c r="B60" s="199" t="s">
        <v>425</v>
      </c>
      <c r="C60" s="199" t="s">
        <v>467</v>
      </c>
      <c r="D60" s="199" t="s">
        <v>466</v>
      </c>
      <c r="E60" s="201">
        <v>70</v>
      </c>
      <c r="F60" s="201">
        <v>70</v>
      </c>
      <c r="G60" s="198">
        <v>0</v>
      </c>
      <c r="H60" s="198">
        <v>200</v>
      </c>
      <c r="I60" s="198">
        <v>0</v>
      </c>
      <c r="J60" s="198">
        <v>65</v>
      </c>
      <c r="K60" s="198">
        <v>161</v>
      </c>
      <c r="L60" s="198"/>
      <c r="M60" s="198">
        <f t="shared" si="8"/>
        <v>226</v>
      </c>
      <c r="N60" s="203">
        <v>0</v>
      </c>
      <c r="O60" s="203">
        <v>60</v>
      </c>
      <c r="P60" s="213"/>
      <c r="Q60" s="197">
        <v>0</v>
      </c>
      <c r="R60" s="149">
        <v>65</v>
      </c>
      <c r="S60" s="149">
        <v>70</v>
      </c>
      <c r="T60" s="148">
        <f>(R60/S60)*25%</f>
        <v>0.23214285714285715</v>
      </c>
      <c r="U60" s="115">
        <v>161</v>
      </c>
      <c r="V60" s="196">
        <v>70</v>
      </c>
      <c r="W60" s="133">
        <f t="shared" si="7"/>
        <v>0.57499999999999996</v>
      </c>
      <c r="X60" s="115"/>
      <c r="Y60" s="115"/>
      <c r="Z60" s="115"/>
      <c r="AA60" s="221">
        <f t="shared" si="9"/>
        <v>0.80714285714285716</v>
      </c>
      <c r="AB60" s="729" t="s">
        <v>878</v>
      </c>
      <c r="AC60" s="161"/>
      <c r="AE60" s="730"/>
      <c r="AF60" s="730"/>
      <c r="AG60" s="730"/>
      <c r="AH60" s="730"/>
      <c r="AI60" s="730"/>
      <c r="AJ60" s="730"/>
      <c r="AK60" s="730"/>
      <c r="AL60" s="730"/>
      <c r="AM60" s="730"/>
      <c r="AN60" s="730"/>
      <c r="AO60" s="730"/>
      <c r="AP60" s="730"/>
      <c r="AQ60" s="730"/>
      <c r="AR60" s="730"/>
      <c r="AS60" s="730"/>
      <c r="AT60" s="730"/>
      <c r="AU60" s="730"/>
      <c r="AV60" s="730"/>
      <c r="AW60" s="730"/>
      <c r="AX60" s="730"/>
      <c r="AY60" s="730"/>
      <c r="AZ60" s="730"/>
      <c r="BA60" s="730"/>
      <c r="BB60" s="730"/>
      <c r="BC60" s="730"/>
      <c r="BD60" s="730"/>
      <c r="BE60" s="730"/>
      <c r="BF60" s="730"/>
      <c r="BG60" s="730"/>
      <c r="BH60" s="730"/>
      <c r="BI60" s="730"/>
      <c r="BJ60" s="730"/>
      <c r="BK60" s="730"/>
      <c r="BL60" s="730"/>
      <c r="BM60" s="730"/>
      <c r="BN60" s="730"/>
      <c r="BO60" s="730"/>
      <c r="BP60" s="730"/>
      <c r="BQ60" s="730"/>
      <c r="BR60" s="730"/>
      <c r="BS60" s="730"/>
      <c r="BT60" s="730"/>
      <c r="BU60" s="730"/>
      <c r="BV60" s="730"/>
      <c r="BW60" s="730"/>
      <c r="BX60" s="730"/>
      <c r="BY60" s="730"/>
      <c r="BZ60" s="730"/>
      <c r="CA60" s="730"/>
      <c r="CB60" s="730"/>
      <c r="CC60" s="730"/>
      <c r="CD60" s="730"/>
      <c r="CE60" s="730"/>
      <c r="CF60" s="730"/>
      <c r="CG60" s="730"/>
      <c r="CH60" s="730"/>
    </row>
    <row r="61" spans="1:86" ht="65.400000000000006" customHeight="1" x14ac:dyDescent="0.3">
      <c r="A61" s="131" t="s">
        <v>881</v>
      </c>
      <c r="B61" s="219" t="s">
        <v>882</v>
      </c>
      <c r="C61" s="219"/>
      <c r="D61" s="219"/>
      <c r="E61" s="86"/>
      <c r="F61" s="215"/>
      <c r="G61" s="87"/>
      <c r="H61" s="86"/>
      <c r="I61" s="86"/>
      <c r="J61" s="86">
        <v>0</v>
      </c>
      <c r="K61" s="18">
        <v>0</v>
      </c>
      <c r="L61" s="220">
        <v>0</v>
      </c>
      <c r="M61" s="18"/>
      <c r="N61" s="18">
        <v>1</v>
      </c>
      <c r="O61" s="18">
        <v>0</v>
      </c>
      <c r="P61" s="18">
        <v>0</v>
      </c>
      <c r="Q61" s="216">
        <v>0.25</v>
      </c>
      <c r="R61" s="18">
        <v>3</v>
      </c>
      <c r="S61" s="18">
        <v>3</v>
      </c>
      <c r="T61" s="216">
        <v>0.25</v>
      </c>
      <c r="U61" s="18">
        <v>0</v>
      </c>
      <c r="V61" s="87">
        <v>3</v>
      </c>
      <c r="W61" s="217">
        <f t="shared" si="7"/>
        <v>0</v>
      </c>
      <c r="X61" s="18"/>
      <c r="Y61" s="18"/>
      <c r="Z61" s="18"/>
      <c r="AA61" s="217">
        <v>0.5</v>
      </c>
      <c r="AB61" s="80" t="s">
        <v>883</v>
      </c>
      <c r="AC61" s="161" t="s">
        <v>883</v>
      </c>
      <c r="AE61" s="730"/>
      <c r="AF61" s="730"/>
      <c r="AG61" s="730"/>
      <c r="AH61" s="730"/>
      <c r="AI61" s="730"/>
      <c r="AJ61" s="730"/>
      <c r="AK61" s="730"/>
      <c r="AL61" s="730"/>
      <c r="AM61" s="730"/>
      <c r="AN61" s="730"/>
      <c r="AO61" s="730"/>
      <c r="AP61" s="730"/>
      <c r="AQ61" s="730"/>
      <c r="AR61" s="730"/>
      <c r="AS61" s="730"/>
      <c r="AT61" s="730"/>
      <c r="AU61" s="730"/>
      <c r="AV61" s="730"/>
      <c r="AW61" s="730"/>
      <c r="AX61" s="730"/>
      <c r="AY61" s="730"/>
      <c r="AZ61" s="730"/>
      <c r="BA61" s="730"/>
      <c r="BB61" s="730"/>
      <c r="BC61" s="730"/>
      <c r="BD61" s="730"/>
      <c r="BE61" s="730"/>
      <c r="BF61" s="730"/>
      <c r="BG61" s="730"/>
      <c r="BH61" s="730"/>
      <c r="BI61" s="730"/>
      <c r="BJ61" s="730"/>
      <c r="BK61" s="730"/>
      <c r="BL61" s="730"/>
      <c r="BM61" s="730"/>
      <c r="BN61" s="730"/>
      <c r="BO61" s="730"/>
      <c r="BP61" s="730"/>
      <c r="BQ61" s="730"/>
      <c r="BR61" s="730"/>
      <c r="BS61" s="730"/>
      <c r="BT61" s="730"/>
      <c r="BU61" s="730"/>
      <c r="BV61" s="730"/>
      <c r="BW61" s="730"/>
      <c r="BX61" s="730"/>
      <c r="BY61" s="730"/>
      <c r="BZ61" s="730"/>
      <c r="CA61" s="730"/>
      <c r="CB61" s="730"/>
      <c r="CC61" s="730"/>
      <c r="CD61" s="730"/>
      <c r="CE61" s="730"/>
      <c r="CF61" s="730"/>
      <c r="CG61" s="730"/>
      <c r="CH61" s="730"/>
    </row>
    <row r="62" spans="1:86" ht="108" customHeight="1" x14ac:dyDescent="0.3">
      <c r="A62" s="131" t="s">
        <v>881</v>
      </c>
      <c r="B62" s="219" t="s">
        <v>884</v>
      </c>
      <c r="C62" s="219"/>
      <c r="D62" s="219"/>
      <c r="E62" s="86"/>
      <c r="F62" s="215">
        <v>0</v>
      </c>
      <c r="G62" s="87"/>
      <c r="H62" s="86"/>
      <c r="I62" s="86"/>
      <c r="J62" s="86">
        <v>1</v>
      </c>
      <c r="K62" s="18">
        <v>0</v>
      </c>
      <c r="L62" s="220">
        <v>0</v>
      </c>
      <c r="M62" s="18"/>
      <c r="N62" s="18">
        <v>1</v>
      </c>
      <c r="O62" s="18">
        <v>0</v>
      </c>
      <c r="P62" s="18">
        <v>0</v>
      </c>
      <c r="Q62" s="216">
        <v>0.25</v>
      </c>
      <c r="R62" s="18">
        <v>25</v>
      </c>
      <c r="S62" s="18">
        <v>25</v>
      </c>
      <c r="T62" s="216">
        <v>0.25</v>
      </c>
      <c r="U62" s="18">
        <v>0</v>
      </c>
      <c r="V62" s="87"/>
      <c r="W62" s="218"/>
      <c r="X62" s="18"/>
      <c r="Y62" s="18"/>
      <c r="Z62" s="18"/>
      <c r="AA62" s="217">
        <v>0.5</v>
      </c>
      <c r="AB62" s="80" t="s">
        <v>883</v>
      </c>
      <c r="AC62" s="161" t="s">
        <v>883</v>
      </c>
    </row>
    <row r="63" spans="1:86" ht="49.8" customHeight="1" x14ac:dyDescent="0.3">
      <c r="A63" s="53" t="s">
        <v>881</v>
      </c>
      <c r="B63" s="219" t="s">
        <v>943</v>
      </c>
      <c r="C63" s="219" t="s">
        <v>830</v>
      </c>
      <c r="D63" s="219" t="s">
        <v>523</v>
      </c>
      <c r="E63" s="524">
        <v>0</v>
      </c>
      <c r="F63" s="525">
        <v>0</v>
      </c>
      <c r="G63" s="526">
        <v>1</v>
      </c>
      <c r="H63" s="524">
        <v>0</v>
      </c>
      <c r="I63" s="524">
        <v>1</v>
      </c>
      <c r="J63" s="524">
        <v>0</v>
      </c>
      <c r="K63" s="220">
        <v>0</v>
      </c>
      <c r="L63" s="524">
        <v>1</v>
      </c>
      <c r="M63" s="220"/>
      <c r="N63" s="220">
        <v>1</v>
      </c>
      <c r="O63" s="220">
        <v>0</v>
      </c>
      <c r="P63" s="220">
        <v>0</v>
      </c>
      <c r="Q63" s="216">
        <v>0.25</v>
      </c>
      <c r="R63" s="220">
        <v>0</v>
      </c>
      <c r="S63" s="220">
        <v>0</v>
      </c>
      <c r="T63" s="216">
        <v>0.25</v>
      </c>
      <c r="U63" s="220">
        <v>0</v>
      </c>
      <c r="V63" s="526">
        <v>0</v>
      </c>
      <c r="W63" s="527">
        <v>0.25</v>
      </c>
      <c r="X63" s="220"/>
      <c r="Y63" s="220"/>
      <c r="Z63" s="220"/>
      <c r="AA63" s="217">
        <v>0.5</v>
      </c>
      <c r="AB63" s="495"/>
      <c r="AC63" s="161" t="s">
        <v>883</v>
      </c>
    </row>
    <row r="64" spans="1:86" ht="49.8" customHeight="1" x14ac:dyDescent="0.3">
      <c r="A64" s="188"/>
      <c r="B64" s="188"/>
      <c r="C64" s="188"/>
      <c r="D64" s="188"/>
      <c r="E64" s="188"/>
      <c r="F64" s="189"/>
      <c r="G64" s="190"/>
      <c r="H64" s="188"/>
      <c r="I64" s="188"/>
      <c r="J64" s="188"/>
      <c r="K64" s="188"/>
      <c r="L64" s="188"/>
      <c r="M64" s="188"/>
      <c r="N64" s="188"/>
      <c r="O64" s="188"/>
      <c r="P64" s="209"/>
      <c r="Q64" s="209"/>
      <c r="R64" s="209"/>
      <c r="S64" s="209"/>
      <c r="T64" s="209"/>
      <c r="U64" s="209"/>
      <c r="V64" s="209"/>
      <c r="W64" s="209"/>
      <c r="X64" s="209"/>
      <c r="Y64" s="209"/>
      <c r="Z64" s="209"/>
      <c r="AA64" s="209"/>
      <c r="AB64" s="209"/>
    </row>
    <row r="66" spans="2:16" ht="49.8" customHeight="1" x14ac:dyDescent="0.3">
      <c r="B66" s="159" t="s">
        <v>121</v>
      </c>
      <c r="D66" s="173" t="s">
        <v>120</v>
      </c>
      <c r="F66" s="723" t="s">
        <v>116</v>
      </c>
      <c r="G66" s="724"/>
      <c r="H66" s="725"/>
      <c r="J66" s="723" t="s">
        <v>713</v>
      </c>
      <c r="K66" s="724"/>
      <c r="L66" s="725"/>
      <c r="N66" s="723" t="s">
        <v>985</v>
      </c>
      <c r="O66" s="724"/>
      <c r="P66" s="725"/>
    </row>
    <row r="67" spans="2:16" ht="49.8" customHeight="1" x14ac:dyDescent="0.3">
      <c r="B67" s="162" t="s">
        <v>64</v>
      </c>
      <c r="D67" s="162" t="s">
        <v>117</v>
      </c>
      <c r="F67" s="159" t="s">
        <v>113</v>
      </c>
      <c r="G67" s="159">
        <v>18</v>
      </c>
      <c r="H67" s="177">
        <f>G67/58*100</f>
        <v>31.03448275862069</v>
      </c>
      <c r="J67" s="159" t="s">
        <v>113</v>
      </c>
      <c r="K67" s="159">
        <v>12</v>
      </c>
      <c r="L67" s="177">
        <f>K67/52*100</f>
        <v>23.076923076923077</v>
      </c>
      <c r="N67" s="495" t="s">
        <v>113</v>
      </c>
      <c r="O67" s="495">
        <v>11</v>
      </c>
      <c r="P67" s="177">
        <f>O67/56*100</f>
        <v>19.642857142857142</v>
      </c>
    </row>
    <row r="68" spans="2:16" ht="49.8" customHeight="1" x14ac:dyDescent="0.3">
      <c r="B68" s="163" t="s">
        <v>65</v>
      </c>
      <c r="D68" s="163" t="s">
        <v>118</v>
      </c>
      <c r="F68" s="159" t="s">
        <v>114</v>
      </c>
      <c r="G68" s="159">
        <v>12</v>
      </c>
      <c r="H68" s="178">
        <f>G68/58*100</f>
        <v>20.689655172413794</v>
      </c>
      <c r="J68" s="159" t="s">
        <v>114</v>
      </c>
      <c r="K68" s="159">
        <v>37</v>
      </c>
      <c r="L68" s="178">
        <f>K68/52*100</f>
        <v>71.15384615384616</v>
      </c>
      <c r="N68" s="495" t="s">
        <v>114</v>
      </c>
      <c r="O68" s="495">
        <v>43</v>
      </c>
      <c r="P68" s="178">
        <f>O68/56*100</f>
        <v>76.785714285714292</v>
      </c>
    </row>
    <row r="69" spans="2:16" ht="49.8" customHeight="1" x14ac:dyDescent="0.3">
      <c r="B69" s="164" t="s">
        <v>66</v>
      </c>
      <c r="D69" s="164" t="s">
        <v>119</v>
      </c>
      <c r="F69" s="159" t="s">
        <v>691</v>
      </c>
      <c r="G69" s="159">
        <v>28</v>
      </c>
      <c r="H69" s="180">
        <f>G69/58*100</f>
        <v>48.275862068965516</v>
      </c>
      <c r="J69" s="159" t="s">
        <v>691</v>
      </c>
      <c r="K69" s="159">
        <v>3</v>
      </c>
      <c r="L69" s="180">
        <f>K69/52*100</f>
        <v>5.7692307692307692</v>
      </c>
      <c r="N69" s="495" t="s">
        <v>691</v>
      </c>
      <c r="O69" s="495">
        <v>2</v>
      </c>
      <c r="P69" s="180">
        <f>O69/56*100</f>
        <v>3.5714285714285712</v>
      </c>
    </row>
    <row r="70" spans="2:16" ht="49.8" customHeight="1" x14ac:dyDescent="0.3">
      <c r="B70" s="147" t="s">
        <v>858</v>
      </c>
      <c r="F70" s="172"/>
      <c r="G70" s="172"/>
    </row>
  </sheetData>
  <mergeCells count="10">
    <mergeCell ref="J66:L66"/>
    <mergeCell ref="F66:H66"/>
    <mergeCell ref="N66:P66"/>
    <mergeCell ref="X1:Y1"/>
    <mergeCell ref="J1:M1"/>
    <mergeCell ref="C1:D1"/>
    <mergeCell ref="E1:I1"/>
    <mergeCell ref="O1:P1"/>
    <mergeCell ref="R1:S1"/>
    <mergeCell ref="U1:V1"/>
  </mergeCell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K23"/>
  <sheetViews>
    <sheetView tabSelected="1" zoomScaleNormal="100" workbookViewId="0">
      <selection activeCell="H11" sqref="H11"/>
    </sheetView>
  </sheetViews>
  <sheetFormatPr baseColWidth="10" defaultRowHeight="14.4" x14ac:dyDescent="0.3"/>
  <cols>
    <col min="2" max="2" width="21.33203125" customWidth="1"/>
    <col min="3" max="3" width="18.6640625" customWidth="1"/>
    <col min="4" max="4" width="20.33203125" customWidth="1"/>
    <col min="5" max="5" width="25" customWidth="1"/>
  </cols>
  <sheetData>
    <row r="2" spans="2:11" x14ac:dyDescent="0.3">
      <c r="B2" s="662" t="s">
        <v>853</v>
      </c>
      <c r="C2" s="662"/>
      <c r="D2" s="662"/>
      <c r="E2" s="662"/>
    </row>
    <row r="3" spans="2:11" x14ac:dyDescent="0.3">
      <c r="B3" s="94" t="s">
        <v>693</v>
      </c>
      <c r="C3" s="94" t="s">
        <v>694</v>
      </c>
      <c r="D3" s="94" t="s">
        <v>695</v>
      </c>
      <c r="E3" s="95" t="s">
        <v>700</v>
      </c>
      <c r="H3" s="738"/>
      <c r="I3" s="738"/>
      <c r="J3" s="732"/>
      <c r="K3" s="694"/>
    </row>
    <row r="4" spans="2:11" ht="26.25" customHeight="1" x14ac:dyDescent="0.3">
      <c r="B4" s="90" t="s">
        <v>696</v>
      </c>
      <c r="C4" s="35">
        <v>14</v>
      </c>
      <c r="D4" s="35">
        <v>5</v>
      </c>
      <c r="E4" s="90">
        <v>12</v>
      </c>
      <c r="H4" s="738"/>
      <c r="I4" s="738"/>
      <c r="J4" s="732"/>
      <c r="K4" s="694"/>
    </row>
    <row r="5" spans="2:11" ht="28.5" customHeight="1" x14ac:dyDescent="0.3">
      <c r="B5" s="90" t="s">
        <v>697</v>
      </c>
      <c r="C5" s="35">
        <v>1</v>
      </c>
      <c r="D5" s="35">
        <v>1</v>
      </c>
      <c r="E5" s="90">
        <v>6</v>
      </c>
      <c r="H5" s="738"/>
      <c r="I5" s="738"/>
      <c r="J5" s="732"/>
      <c r="K5" s="694"/>
    </row>
    <row r="6" spans="2:11" ht="36" customHeight="1" x14ac:dyDescent="0.3">
      <c r="B6" s="90" t="s">
        <v>698</v>
      </c>
      <c r="C6" s="35">
        <v>7</v>
      </c>
      <c r="D6" s="35">
        <v>12</v>
      </c>
      <c r="E6" s="90">
        <v>3</v>
      </c>
      <c r="H6" s="738"/>
      <c r="I6" s="738"/>
      <c r="J6" s="732"/>
      <c r="K6" s="694"/>
    </row>
    <row r="7" spans="2:11" ht="22.5" customHeight="1" x14ac:dyDescent="0.3">
      <c r="B7" s="90" t="s">
        <v>699</v>
      </c>
      <c r="C7" s="35">
        <v>17</v>
      </c>
      <c r="D7" s="35">
        <v>10</v>
      </c>
      <c r="E7" s="90">
        <v>8</v>
      </c>
      <c r="H7" s="738"/>
      <c r="I7" s="738"/>
      <c r="J7" s="732"/>
      <c r="K7" s="694"/>
    </row>
    <row r="8" spans="2:11" x14ac:dyDescent="0.3">
      <c r="B8" s="90" t="s">
        <v>701</v>
      </c>
      <c r="C8" s="35">
        <v>13</v>
      </c>
      <c r="D8" s="35">
        <v>3</v>
      </c>
      <c r="E8" s="90">
        <v>7</v>
      </c>
      <c r="H8" s="738"/>
      <c r="I8" s="738"/>
      <c r="J8" s="732"/>
      <c r="K8" s="694"/>
    </row>
    <row r="9" spans="2:11" x14ac:dyDescent="0.3">
      <c r="B9" s="90" t="s">
        <v>702</v>
      </c>
      <c r="C9" s="35">
        <v>15</v>
      </c>
      <c r="D9" s="35">
        <v>8</v>
      </c>
      <c r="E9" s="90">
        <v>12</v>
      </c>
      <c r="H9" s="738"/>
      <c r="I9" s="738"/>
      <c r="J9" s="732"/>
      <c r="K9" s="694"/>
    </row>
    <row r="10" spans="2:11" ht="24.75" customHeight="1" x14ac:dyDescent="0.3">
      <c r="B10" s="90" t="s">
        <v>703</v>
      </c>
      <c r="C10" s="35">
        <v>7</v>
      </c>
      <c r="D10" s="35">
        <v>5</v>
      </c>
      <c r="E10" s="90">
        <v>2</v>
      </c>
      <c r="H10" s="738"/>
      <c r="I10" s="738"/>
      <c r="J10" s="732"/>
      <c r="K10" s="694"/>
    </row>
    <row r="11" spans="2:11" ht="24" customHeight="1" x14ac:dyDescent="0.3">
      <c r="B11" s="90" t="s">
        <v>704</v>
      </c>
      <c r="C11" s="35">
        <v>11</v>
      </c>
      <c r="D11" s="35">
        <v>6</v>
      </c>
      <c r="E11" s="90">
        <v>12</v>
      </c>
      <c r="H11" s="739"/>
      <c r="I11" s="739"/>
      <c r="J11" s="732"/>
      <c r="K11" s="694"/>
    </row>
    <row r="12" spans="2:11" ht="23.25" customHeight="1" x14ac:dyDescent="0.3">
      <c r="B12" s="90" t="s">
        <v>705</v>
      </c>
      <c r="C12" s="36">
        <v>18</v>
      </c>
      <c r="D12" s="36">
        <v>12</v>
      </c>
      <c r="E12" s="90">
        <v>28</v>
      </c>
      <c r="H12" s="694"/>
      <c r="I12" s="694"/>
      <c r="J12" s="694"/>
      <c r="K12" s="694"/>
    </row>
    <row r="13" spans="2:11" ht="39" customHeight="1" x14ac:dyDescent="0.3">
      <c r="B13" s="93" t="s">
        <v>849</v>
      </c>
      <c r="C13" s="96">
        <f>26/217*100</f>
        <v>11.981566820276496</v>
      </c>
      <c r="D13" s="98">
        <f>188/217*100</f>
        <v>86.635944700460826</v>
      </c>
      <c r="E13" s="97">
        <f>3/217*100</f>
        <v>1.3824884792626728</v>
      </c>
    </row>
    <row r="14" spans="2:11" ht="41.25" customHeight="1" x14ac:dyDescent="0.3">
      <c r="B14" s="90" t="s">
        <v>850</v>
      </c>
      <c r="C14" s="96">
        <f>62/C16*100</f>
        <v>25.409836065573771</v>
      </c>
      <c r="D14" s="98">
        <f>165/244*100</f>
        <v>67.622950819672127</v>
      </c>
      <c r="E14" s="97">
        <f>17/244*100</f>
        <v>6.9672131147540979</v>
      </c>
    </row>
    <row r="15" spans="2:11" ht="43.2" x14ac:dyDescent="0.3">
      <c r="B15" s="733" t="s">
        <v>991</v>
      </c>
      <c r="C15" s="96">
        <f>102/254*100</f>
        <v>40.15748031496063</v>
      </c>
      <c r="D15" s="98">
        <f>62/254*100</f>
        <v>24.409448818897637</v>
      </c>
      <c r="E15" s="97">
        <f>90/254*100</f>
        <v>35.433070866141733</v>
      </c>
    </row>
    <row r="16" spans="2:11" x14ac:dyDescent="0.3">
      <c r="B16" s="127" t="s">
        <v>851</v>
      </c>
      <c r="C16">
        <v>244</v>
      </c>
    </row>
    <row r="19" spans="2:5" ht="15" customHeight="1" x14ac:dyDescent="0.3">
      <c r="B19" s="579" t="s">
        <v>852</v>
      </c>
      <c r="C19" s="579"/>
      <c r="D19" s="579"/>
      <c r="E19" s="579"/>
    </row>
    <row r="20" spans="2:5" x14ac:dyDescent="0.3">
      <c r="B20" s="114" t="s">
        <v>693</v>
      </c>
      <c r="C20" s="114" t="s">
        <v>694</v>
      </c>
      <c r="D20" s="114" t="s">
        <v>695</v>
      </c>
      <c r="E20" s="95" t="s">
        <v>700</v>
      </c>
    </row>
    <row r="21" spans="2:5" x14ac:dyDescent="0.3">
      <c r="B21" s="112" t="s">
        <v>854</v>
      </c>
      <c r="C21" s="112">
        <v>3</v>
      </c>
      <c r="D21" s="112">
        <v>10</v>
      </c>
      <c r="E21" s="113">
        <v>1</v>
      </c>
    </row>
    <row r="22" spans="2:5" x14ac:dyDescent="0.3">
      <c r="B22" s="112" t="s">
        <v>855</v>
      </c>
      <c r="C22" s="88">
        <f>3/14*100</f>
        <v>21.428571428571427</v>
      </c>
      <c r="D22" s="89">
        <f>10/14*100</f>
        <v>71.428571428571431</v>
      </c>
      <c r="E22" s="124">
        <f>1/14*100</f>
        <v>7.1428571428571423</v>
      </c>
    </row>
    <row r="23" spans="2:5" x14ac:dyDescent="0.3">
      <c r="B23" s="697" t="s">
        <v>992</v>
      </c>
      <c r="C23" s="735">
        <v>5</v>
      </c>
      <c r="D23" s="736">
        <v>3</v>
      </c>
      <c r="E23" s="737">
        <v>6</v>
      </c>
    </row>
  </sheetData>
  <mergeCells count="2">
    <mergeCell ref="B2:E2"/>
    <mergeCell ref="B19:E1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16"/>
  <sheetViews>
    <sheetView topLeftCell="I13" zoomScale="95" zoomScaleNormal="95" workbookViewId="0">
      <selection activeCell="V10" sqref="V3:V10"/>
    </sheetView>
  </sheetViews>
  <sheetFormatPr baseColWidth="10" defaultColWidth="11.44140625" defaultRowHeight="15" x14ac:dyDescent="0.3"/>
  <cols>
    <col min="1" max="1" width="37.77734375" style="416" customWidth="1"/>
    <col min="2" max="2" width="15.44140625" style="389" customWidth="1"/>
    <col min="3" max="3" width="33.109375" style="389" customWidth="1"/>
    <col min="4" max="4" width="13.6640625" style="389" customWidth="1"/>
    <col min="5" max="5" width="14.6640625" style="389" customWidth="1"/>
    <col min="6" max="6" width="11.44140625" style="389"/>
    <col min="7" max="7" width="16.5546875" style="389" customWidth="1"/>
    <col min="8" max="25" width="11.44140625" style="389"/>
    <col min="26" max="26" width="12.88671875" style="389" bestFit="1" customWidth="1"/>
    <col min="27" max="27" width="27.5546875" style="389" customWidth="1"/>
    <col min="28" max="16384" width="11.44140625" style="389"/>
  </cols>
  <sheetData>
    <row r="1" spans="1:40" ht="14.4" thickBot="1" x14ac:dyDescent="0.35">
      <c r="A1" s="554" t="s">
        <v>2</v>
      </c>
      <c r="B1" s="555" t="s">
        <v>3</v>
      </c>
      <c r="C1" s="556"/>
      <c r="D1" s="557" t="s">
        <v>5</v>
      </c>
      <c r="E1" s="558"/>
      <c r="F1" s="558"/>
      <c r="G1" s="558"/>
      <c r="H1" s="559"/>
      <c r="I1" s="560" t="s">
        <v>6</v>
      </c>
      <c r="J1" s="561"/>
      <c r="K1" s="561"/>
      <c r="L1" s="562"/>
      <c r="M1" s="388"/>
      <c r="N1" s="563" t="s">
        <v>56</v>
      </c>
      <c r="O1" s="555"/>
      <c r="P1" s="556"/>
      <c r="Q1" s="563" t="s">
        <v>57</v>
      </c>
      <c r="R1" s="555"/>
      <c r="S1" s="556"/>
      <c r="T1" s="563" t="s">
        <v>58</v>
      </c>
      <c r="U1" s="555"/>
      <c r="V1" s="556"/>
      <c r="W1" s="563" t="s">
        <v>59</v>
      </c>
      <c r="X1" s="555"/>
      <c r="Y1" s="555"/>
      <c r="Z1" s="551" t="s">
        <v>60</v>
      </c>
      <c r="AH1" s="390"/>
      <c r="AI1" s="390"/>
      <c r="AJ1" s="390"/>
      <c r="AK1" s="390"/>
      <c r="AL1" s="390"/>
      <c r="AM1" s="390"/>
    </row>
    <row r="2" spans="1:40" ht="27" thickBot="1" x14ac:dyDescent="0.35">
      <c r="A2" s="554"/>
      <c r="B2" s="391" t="s">
        <v>7</v>
      </c>
      <c r="C2" s="392" t="s">
        <v>8</v>
      </c>
      <c r="D2" s="393" t="s">
        <v>13</v>
      </c>
      <c r="E2" s="393" t="s">
        <v>15</v>
      </c>
      <c r="F2" s="393" t="s">
        <v>17</v>
      </c>
      <c r="G2" s="393" t="s">
        <v>18</v>
      </c>
      <c r="H2" s="394" t="s">
        <v>55</v>
      </c>
      <c r="I2" s="395" t="s">
        <v>13</v>
      </c>
      <c r="J2" s="396" t="s">
        <v>15</v>
      </c>
      <c r="K2" s="396" t="s">
        <v>17</v>
      </c>
      <c r="L2" s="396" t="s">
        <v>18</v>
      </c>
      <c r="M2" s="396" t="s">
        <v>61</v>
      </c>
      <c r="N2" s="397" t="s">
        <v>9</v>
      </c>
      <c r="O2" s="397" t="s">
        <v>10</v>
      </c>
      <c r="P2" s="397" t="s">
        <v>11</v>
      </c>
      <c r="Q2" s="397" t="s">
        <v>9</v>
      </c>
      <c r="R2" s="397" t="s">
        <v>10</v>
      </c>
      <c r="S2" s="397" t="s">
        <v>11</v>
      </c>
      <c r="T2" s="397" t="s">
        <v>9</v>
      </c>
      <c r="U2" s="397" t="s">
        <v>10</v>
      </c>
      <c r="V2" s="397" t="s">
        <v>11</v>
      </c>
      <c r="W2" s="397" t="s">
        <v>9</v>
      </c>
      <c r="X2" s="397" t="s">
        <v>10</v>
      </c>
      <c r="Y2" s="398" t="s">
        <v>11</v>
      </c>
      <c r="Z2" s="552"/>
      <c r="AA2" s="399" t="s">
        <v>122</v>
      </c>
      <c r="AH2" s="390"/>
      <c r="AI2" s="390"/>
      <c r="AJ2" s="390"/>
      <c r="AK2" s="390"/>
      <c r="AL2" s="390"/>
      <c r="AM2" s="390"/>
    </row>
    <row r="3" spans="1:40" ht="171" customHeight="1" x14ac:dyDescent="0.3">
      <c r="A3" s="415" t="s">
        <v>123</v>
      </c>
      <c r="B3" s="400" t="s">
        <v>124</v>
      </c>
      <c r="C3" s="400" t="s">
        <v>125</v>
      </c>
      <c r="D3" s="401">
        <v>0</v>
      </c>
      <c r="E3" s="402">
        <v>20</v>
      </c>
      <c r="F3" s="402">
        <v>20</v>
      </c>
      <c r="G3" s="402">
        <v>0</v>
      </c>
      <c r="H3" s="401">
        <v>40</v>
      </c>
      <c r="I3" s="401">
        <v>0</v>
      </c>
      <c r="J3" s="400">
        <v>18</v>
      </c>
      <c r="K3" s="400">
        <v>22</v>
      </c>
      <c r="L3" s="400"/>
      <c r="M3" s="400">
        <f t="shared" ref="M3:M10" si="0">I3+J3+K3+L3</f>
        <v>40</v>
      </c>
      <c r="N3" s="400">
        <v>0</v>
      </c>
      <c r="O3" s="400">
        <v>0</v>
      </c>
      <c r="P3" s="403">
        <v>25</v>
      </c>
      <c r="Q3" s="400">
        <v>18</v>
      </c>
      <c r="R3" s="400">
        <v>20</v>
      </c>
      <c r="S3" s="422">
        <f>(Q3/R3)*25</f>
        <v>22.5</v>
      </c>
      <c r="T3" s="400">
        <v>22</v>
      </c>
      <c r="U3" s="400">
        <v>20</v>
      </c>
      <c r="V3" s="422">
        <f>T3/U3*25</f>
        <v>27.500000000000004</v>
      </c>
      <c r="W3" s="400"/>
      <c r="X3" s="400"/>
      <c r="Y3" s="400"/>
      <c r="Z3" s="420">
        <f>P3+S3+V3+Y3</f>
        <v>75</v>
      </c>
      <c r="AA3" s="400" t="s">
        <v>126</v>
      </c>
    </row>
    <row r="4" spans="1:40" ht="133.19999999999999" customHeight="1" x14ac:dyDescent="0.3">
      <c r="A4" s="415" t="s">
        <v>127</v>
      </c>
      <c r="B4" s="400" t="s">
        <v>124</v>
      </c>
      <c r="C4" s="400" t="s">
        <v>128</v>
      </c>
      <c r="D4" s="401">
        <v>2</v>
      </c>
      <c r="E4" s="402">
        <v>51</v>
      </c>
      <c r="F4" s="402">
        <v>123</v>
      </c>
      <c r="G4" s="402">
        <v>81</v>
      </c>
      <c r="H4" s="401">
        <v>257</v>
      </c>
      <c r="I4" s="401">
        <v>2</v>
      </c>
      <c r="J4" s="400">
        <v>44</v>
      </c>
      <c r="K4" s="400">
        <v>137</v>
      </c>
      <c r="L4" s="400"/>
      <c r="M4" s="400">
        <f t="shared" si="0"/>
        <v>183</v>
      </c>
      <c r="N4" s="400">
        <v>2</v>
      </c>
      <c r="O4" s="400">
        <v>2</v>
      </c>
      <c r="P4" s="403">
        <v>25</v>
      </c>
      <c r="Q4" s="400">
        <v>44</v>
      </c>
      <c r="R4" s="400">
        <v>51</v>
      </c>
      <c r="S4" s="422">
        <f t="shared" ref="S4:S10" si="1">Q4/R4*25</f>
        <v>21.568627450980394</v>
      </c>
      <c r="T4" s="400">
        <v>137</v>
      </c>
      <c r="U4" s="400">
        <v>123</v>
      </c>
      <c r="V4" s="422">
        <f t="shared" ref="V4:V10" si="2">T4/U4*25</f>
        <v>27.845528455284551</v>
      </c>
      <c r="W4" s="400"/>
      <c r="X4" s="400"/>
      <c r="Y4" s="400"/>
      <c r="Z4" s="421">
        <f t="shared" ref="Z4:Z10" si="3">P4+S4+V4+Y4</f>
        <v>74.414155906264938</v>
      </c>
      <c r="AA4" s="400" t="s">
        <v>129</v>
      </c>
      <c r="AN4" s="389">
        <v>38</v>
      </c>
    </row>
    <row r="5" spans="1:40" ht="118.2" customHeight="1" x14ac:dyDescent="0.3">
      <c r="A5" s="415" t="s">
        <v>130</v>
      </c>
      <c r="B5" s="400" t="s">
        <v>124</v>
      </c>
      <c r="C5" s="400" t="s">
        <v>131</v>
      </c>
      <c r="D5" s="401">
        <v>0</v>
      </c>
      <c r="E5" s="402">
        <v>6</v>
      </c>
      <c r="F5" s="402">
        <v>7</v>
      </c>
      <c r="G5" s="402">
        <v>13</v>
      </c>
      <c r="H5" s="401">
        <v>26</v>
      </c>
      <c r="I5" s="401">
        <v>0</v>
      </c>
      <c r="J5" s="400">
        <v>5</v>
      </c>
      <c r="K5" s="400">
        <v>7</v>
      </c>
      <c r="L5" s="400"/>
      <c r="M5" s="400">
        <f t="shared" si="0"/>
        <v>12</v>
      </c>
      <c r="N5" s="400">
        <v>0</v>
      </c>
      <c r="O5" s="400">
        <v>0</v>
      </c>
      <c r="P5" s="403">
        <v>25</v>
      </c>
      <c r="Q5" s="400">
        <v>5</v>
      </c>
      <c r="R5" s="400">
        <v>6</v>
      </c>
      <c r="S5" s="422">
        <f t="shared" si="1"/>
        <v>20.833333333333336</v>
      </c>
      <c r="T5" s="400">
        <v>7</v>
      </c>
      <c r="U5" s="400">
        <v>7</v>
      </c>
      <c r="V5" s="422">
        <f t="shared" si="2"/>
        <v>25</v>
      </c>
      <c r="W5" s="400"/>
      <c r="X5" s="400"/>
      <c r="Y5" s="400"/>
      <c r="Z5" s="421">
        <f t="shared" si="3"/>
        <v>70.833333333333343</v>
      </c>
      <c r="AA5" s="400" t="s">
        <v>132</v>
      </c>
    </row>
    <row r="6" spans="1:40" ht="63" customHeight="1" x14ac:dyDescent="0.3">
      <c r="A6" s="415" t="s">
        <v>133</v>
      </c>
      <c r="B6" s="400" t="s">
        <v>315</v>
      </c>
      <c r="C6" s="400" t="s">
        <v>316</v>
      </c>
      <c r="D6" s="401">
        <v>0</v>
      </c>
      <c r="E6" s="402">
        <v>0</v>
      </c>
      <c r="F6" s="402">
        <v>1</v>
      </c>
      <c r="G6" s="402">
        <v>0</v>
      </c>
      <c r="H6" s="401">
        <v>1</v>
      </c>
      <c r="I6" s="401">
        <v>0</v>
      </c>
      <c r="J6" s="400">
        <v>0</v>
      </c>
      <c r="K6" s="400">
        <v>1</v>
      </c>
      <c r="L6" s="400"/>
      <c r="M6" s="400">
        <f t="shared" si="0"/>
        <v>1</v>
      </c>
      <c r="N6" s="400">
        <v>0</v>
      </c>
      <c r="O6" s="400">
        <v>0</v>
      </c>
      <c r="P6" s="403">
        <v>25</v>
      </c>
      <c r="Q6" s="400">
        <v>0</v>
      </c>
      <c r="R6" s="400">
        <v>0</v>
      </c>
      <c r="S6" s="422">
        <v>25</v>
      </c>
      <c r="T6" s="400">
        <v>1</v>
      </c>
      <c r="U6" s="400">
        <v>1</v>
      </c>
      <c r="V6" s="422">
        <f t="shared" si="2"/>
        <v>25</v>
      </c>
      <c r="W6" s="400"/>
      <c r="X6" s="400"/>
      <c r="Y6" s="400"/>
      <c r="Z6" s="420">
        <f t="shared" si="3"/>
        <v>75</v>
      </c>
      <c r="AA6" s="400" t="s">
        <v>134</v>
      </c>
    </row>
    <row r="7" spans="1:40" ht="45" x14ac:dyDescent="0.3">
      <c r="A7" s="415" t="s">
        <v>135</v>
      </c>
      <c r="B7" s="400" t="s">
        <v>124</v>
      </c>
      <c r="C7" s="400" t="s">
        <v>317</v>
      </c>
      <c r="D7" s="401">
        <v>10</v>
      </c>
      <c r="E7" s="402">
        <v>0</v>
      </c>
      <c r="F7" s="402">
        <v>10</v>
      </c>
      <c r="G7" s="402">
        <v>0</v>
      </c>
      <c r="H7" s="401">
        <v>20</v>
      </c>
      <c r="I7" s="401">
        <v>10</v>
      </c>
      <c r="J7" s="400">
        <v>0</v>
      </c>
      <c r="K7" s="400">
        <v>8</v>
      </c>
      <c r="L7" s="400"/>
      <c r="M7" s="400">
        <f t="shared" si="0"/>
        <v>18</v>
      </c>
      <c r="N7" s="400">
        <v>10</v>
      </c>
      <c r="O7" s="400">
        <v>10</v>
      </c>
      <c r="P7" s="403">
        <v>25</v>
      </c>
      <c r="Q7" s="400">
        <v>0</v>
      </c>
      <c r="R7" s="400">
        <v>0</v>
      </c>
      <c r="S7" s="422">
        <v>25</v>
      </c>
      <c r="T7" s="400">
        <v>8</v>
      </c>
      <c r="U7" s="400">
        <v>10</v>
      </c>
      <c r="V7" s="421">
        <f t="shared" si="2"/>
        <v>20</v>
      </c>
      <c r="W7" s="400"/>
      <c r="X7" s="400"/>
      <c r="Y7" s="400"/>
      <c r="Z7" s="420">
        <f t="shared" si="3"/>
        <v>70</v>
      </c>
      <c r="AA7" s="400" t="s">
        <v>136</v>
      </c>
    </row>
    <row r="8" spans="1:40" ht="90" x14ac:dyDescent="0.3">
      <c r="A8" s="415" t="s">
        <v>137</v>
      </c>
      <c r="B8" s="400" t="s">
        <v>124</v>
      </c>
      <c r="C8" s="400" t="s">
        <v>138</v>
      </c>
      <c r="D8" s="401">
        <v>9</v>
      </c>
      <c r="E8" s="402">
        <v>21</v>
      </c>
      <c r="F8" s="402">
        <v>4</v>
      </c>
      <c r="G8" s="402">
        <v>43</v>
      </c>
      <c r="H8" s="401">
        <v>86</v>
      </c>
      <c r="I8" s="401">
        <v>9</v>
      </c>
      <c r="J8" s="400">
        <v>21</v>
      </c>
      <c r="K8" s="400">
        <v>8</v>
      </c>
      <c r="L8" s="400"/>
      <c r="M8" s="400">
        <f t="shared" si="0"/>
        <v>38</v>
      </c>
      <c r="N8" s="400">
        <v>9</v>
      </c>
      <c r="O8" s="400">
        <v>9</v>
      </c>
      <c r="P8" s="403">
        <v>25</v>
      </c>
      <c r="Q8" s="400">
        <v>21</v>
      </c>
      <c r="R8" s="400">
        <v>21</v>
      </c>
      <c r="S8" s="422">
        <f t="shared" si="1"/>
        <v>25</v>
      </c>
      <c r="T8" s="400">
        <v>8</v>
      </c>
      <c r="U8" s="400">
        <v>4</v>
      </c>
      <c r="V8" s="422">
        <f t="shared" si="2"/>
        <v>50</v>
      </c>
      <c r="W8" s="400"/>
      <c r="X8" s="400"/>
      <c r="Y8" s="400"/>
      <c r="Z8" s="403">
        <f t="shared" si="3"/>
        <v>100</v>
      </c>
      <c r="AA8" s="400" t="s">
        <v>139</v>
      </c>
    </row>
    <row r="9" spans="1:40" ht="46.2" customHeight="1" x14ac:dyDescent="0.3">
      <c r="A9" s="415" t="s">
        <v>140</v>
      </c>
      <c r="B9" s="400" t="s">
        <v>124</v>
      </c>
      <c r="C9" s="400" t="s">
        <v>141</v>
      </c>
      <c r="D9" s="401">
        <v>0</v>
      </c>
      <c r="E9" s="402">
        <v>5</v>
      </c>
      <c r="F9" s="402">
        <v>0</v>
      </c>
      <c r="G9" s="402">
        <v>5</v>
      </c>
      <c r="H9" s="401">
        <v>10</v>
      </c>
      <c r="I9" s="401">
        <v>0</v>
      </c>
      <c r="J9" s="400">
        <v>5</v>
      </c>
      <c r="K9" s="400">
        <v>0</v>
      </c>
      <c r="L9" s="400"/>
      <c r="M9" s="400">
        <f t="shared" si="0"/>
        <v>5</v>
      </c>
      <c r="N9" s="400">
        <v>0</v>
      </c>
      <c r="O9" s="400">
        <v>0</v>
      </c>
      <c r="P9" s="403">
        <v>25</v>
      </c>
      <c r="Q9" s="400">
        <v>5</v>
      </c>
      <c r="R9" s="400">
        <v>5</v>
      </c>
      <c r="S9" s="422">
        <f t="shared" si="1"/>
        <v>25</v>
      </c>
      <c r="T9" s="400">
        <v>0</v>
      </c>
      <c r="U9" s="400">
        <v>0</v>
      </c>
      <c r="V9" s="422">
        <v>25</v>
      </c>
      <c r="W9" s="400"/>
      <c r="X9" s="400"/>
      <c r="Y9" s="400"/>
      <c r="Z9" s="420">
        <f t="shared" si="3"/>
        <v>75</v>
      </c>
      <c r="AA9" s="400" t="s">
        <v>142</v>
      </c>
    </row>
    <row r="10" spans="1:40" ht="154.19999999999999" customHeight="1" x14ac:dyDescent="0.3">
      <c r="A10" s="415" t="s">
        <v>143</v>
      </c>
      <c r="B10" s="400" t="s">
        <v>144</v>
      </c>
      <c r="C10" s="400" t="s">
        <v>145</v>
      </c>
      <c r="D10" s="401">
        <v>0</v>
      </c>
      <c r="E10" s="402">
        <v>2</v>
      </c>
      <c r="F10" s="402">
        <v>3</v>
      </c>
      <c r="G10" s="402">
        <v>7</v>
      </c>
      <c r="H10" s="401">
        <v>12</v>
      </c>
      <c r="I10" s="401">
        <v>0</v>
      </c>
      <c r="J10" s="400">
        <v>2</v>
      </c>
      <c r="K10" s="400">
        <v>2</v>
      </c>
      <c r="L10" s="400"/>
      <c r="M10" s="400">
        <f t="shared" si="0"/>
        <v>4</v>
      </c>
      <c r="N10" s="400">
        <v>0</v>
      </c>
      <c r="O10" s="400">
        <v>0</v>
      </c>
      <c r="P10" s="403">
        <v>25</v>
      </c>
      <c r="Q10" s="400">
        <v>2</v>
      </c>
      <c r="R10" s="400">
        <v>2</v>
      </c>
      <c r="S10" s="422">
        <f t="shared" si="1"/>
        <v>25</v>
      </c>
      <c r="T10" s="400">
        <v>2</v>
      </c>
      <c r="U10" s="400">
        <v>3</v>
      </c>
      <c r="V10" s="421">
        <f t="shared" si="2"/>
        <v>16.666666666666664</v>
      </c>
      <c r="W10" s="400"/>
      <c r="X10" s="400"/>
      <c r="Y10" s="400"/>
      <c r="Z10" s="670">
        <f t="shared" si="3"/>
        <v>66.666666666666657</v>
      </c>
      <c r="AA10" s="400" t="s">
        <v>146</v>
      </c>
    </row>
    <row r="13" spans="1:40" x14ac:dyDescent="0.3">
      <c r="A13" s="415" t="s">
        <v>121</v>
      </c>
      <c r="B13" s="405"/>
      <c r="C13" s="406" t="s">
        <v>120</v>
      </c>
      <c r="E13" s="553" t="s">
        <v>710</v>
      </c>
      <c r="F13" s="553"/>
      <c r="G13" s="553"/>
      <c r="I13" s="553" t="s">
        <v>711</v>
      </c>
      <c r="J13" s="553"/>
      <c r="K13" s="553"/>
      <c r="N13" s="553" t="s">
        <v>990</v>
      </c>
      <c r="O13" s="553"/>
      <c r="P13" s="553"/>
      <c r="T13" s="553" t="s">
        <v>709</v>
      </c>
      <c r="U13" s="553"/>
      <c r="V13" s="553"/>
    </row>
    <row r="14" spans="1:40" ht="39.6" x14ac:dyDescent="0.3">
      <c r="A14" s="417" t="s">
        <v>64</v>
      </c>
      <c r="B14" s="405"/>
      <c r="C14" s="407" t="s">
        <v>117</v>
      </c>
      <c r="E14" s="404" t="s">
        <v>113</v>
      </c>
      <c r="F14" s="404">
        <v>0</v>
      </c>
      <c r="G14" s="408">
        <f>0/8*100</f>
        <v>0</v>
      </c>
      <c r="I14" s="404" t="s">
        <v>113</v>
      </c>
      <c r="J14" s="404">
        <v>0</v>
      </c>
      <c r="K14" s="408">
        <f>0/8*100</f>
        <v>0</v>
      </c>
      <c r="N14" s="488" t="s">
        <v>113</v>
      </c>
      <c r="O14" s="488">
        <v>0</v>
      </c>
      <c r="P14" s="408">
        <f>0/8*100</f>
        <v>0</v>
      </c>
      <c r="T14" s="404" t="s">
        <v>113</v>
      </c>
      <c r="U14" s="404">
        <v>1</v>
      </c>
      <c r="V14" s="409">
        <f>U14/8*100</f>
        <v>12.5</v>
      </c>
    </row>
    <row r="15" spans="1:40" ht="39.6" x14ac:dyDescent="0.3">
      <c r="A15" s="418" t="s">
        <v>65</v>
      </c>
      <c r="B15" s="405"/>
      <c r="C15" s="410" t="s">
        <v>118</v>
      </c>
      <c r="E15" s="404" t="s">
        <v>114</v>
      </c>
      <c r="F15" s="404">
        <v>8</v>
      </c>
      <c r="G15" s="411">
        <f>8/8*100</f>
        <v>100</v>
      </c>
      <c r="I15" s="404" t="s">
        <v>114</v>
      </c>
      <c r="J15" s="404">
        <v>8</v>
      </c>
      <c r="K15" s="411">
        <f>8/8*100</f>
        <v>100</v>
      </c>
      <c r="N15" s="488" t="s">
        <v>114</v>
      </c>
      <c r="O15" s="488">
        <v>6</v>
      </c>
      <c r="P15" s="422">
        <f>O15/8*100</f>
        <v>75</v>
      </c>
      <c r="T15" s="404" t="s">
        <v>114</v>
      </c>
      <c r="U15" s="404">
        <v>1</v>
      </c>
      <c r="V15" s="412">
        <f>U15/8*100</f>
        <v>12.5</v>
      </c>
    </row>
    <row r="16" spans="1:40" ht="41.4" x14ac:dyDescent="0.3">
      <c r="A16" s="419" t="s">
        <v>66</v>
      </c>
      <c r="B16" s="405"/>
      <c r="C16" s="413" t="s">
        <v>119</v>
      </c>
      <c r="I16" s="400" t="s">
        <v>706</v>
      </c>
      <c r="J16" s="400">
        <v>0</v>
      </c>
      <c r="K16" s="414">
        <v>0</v>
      </c>
      <c r="N16" s="400" t="s">
        <v>706</v>
      </c>
      <c r="O16" s="400">
        <v>2</v>
      </c>
      <c r="P16" s="421">
        <f>O16/8*100</f>
        <v>25</v>
      </c>
      <c r="T16" s="400" t="s">
        <v>706</v>
      </c>
      <c r="U16" s="400">
        <v>6</v>
      </c>
      <c r="V16" s="421">
        <f>U16/8*100</f>
        <v>75</v>
      </c>
    </row>
  </sheetData>
  <mergeCells count="13">
    <mergeCell ref="Z1:Z2"/>
    <mergeCell ref="E13:G13"/>
    <mergeCell ref="A1:A2"/>
    <mergeCell ref="B1:C1"/>
    <mergeCell ref="D1:H1"/>
    <mergeCell ref="I1:L1"/>
    <mergeCell ref="N1:P1"/>
    <mergeCell ref="Q1:S1"/>
    <mergeCell ref="T1:V1"/>
    <mergeCell ref="W1:Y1"/>
    <mergeCell ref="I13:K13"/>
    <mergeCell ref="T13:V13"/>
    <mergeCell ref="N13:P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30"/>
  <sheetViews>
    <sheetView topLeftCell="K1" workbookViewId="0">
      <pane ySplit="1" topLeftCell="A23" activePane="bottomLeft" state="frozen"/>
      <selection activeCell="F1" sqref="F1"/>
      <selection pane="bottomLeft" activeCell="M27" sqref="M27"/>
    </sheetView>
  </sheetViews>
  <sheetFormatPr baseColWidth="10" defaultColWidth="11.44140625" defaultRowHeight="14.4" x14ac:dyDescent="0.3"/>
  <cols>
    <col min="1" max="1" width="29.6640625" style="81" customWidth="1"/>
    <col min="2" max="2" width="16.5546875" style="81" customWidth="1"/>
    <col min="3" max="3" width="16.44140625" style="81" customWidth="1"/>
    <col min="4" max="25" width="11.44140625" style="81"/>
    <col min="26" max="26" width="14.44140625" style="81" bestFit="1" customWidth="1"/>
    <col min="27" max="16384" width="11.44140625" style="81"/>
  </cols>
  <sheetData>
    <row r="1" spans="1:26" ht="15.75" customHeight="1" x14ac:dyDescent="0.3">
      <c r="A1" s="566" t="s">
        <v>2</v>
      </c>
      <c r="B1" s="567" t="s">
        <v>3</v>
      </c>
      <c r="C1" s="567"/>
      <c r="D1" s="568" t="s">
        <v>5</v>
      </c>
      <c r="E1" s="568"/>
      <c r="F1" s="568"/>
      <c r="G1" s="568"/>
      <c r="H1" s="568"/>
      <c r="I1" s="564" t="s">
        <v>6</v>
      </c>
      <c r="J1" s="564"/>
      <c r="K1" s="564"/>
      <c r="L1" s="564"/>
      <c r="M1" s="139"/>
      <c r="N1" s="567" t="s">
        <v>56</v>
      </c>
      <c r="O1" s="567"/>
      <c r="P1" s="567"/>
      <c r="Q1" s="567" t="s">
        <v>57</v>
      </c>
      <c r="R1" s="567"/>
      <c r="S1" s="567"/>
      <c r="T1" s="567" t="s">
        <v>58</v>
      </c>
      <c r="U1" s="567"/>
      <c r="V1" s="567"/>
      <c r="W1" s="567" t="s">
        <v>59</v>
      </c>
      <c r="X1" s="567"/>
      <c r="Y1" s="567"/>
      <c r="Z1" s="564" t="s">
        <v>60</v>
      </c>
    </row>
    <row r="2" spans="1:26" ht="27.6" x14ac:dyDescent="0.3">
      <c r="A2" s="566"/>
      <c r="B2" s="228" t="s">
        <v>7</v>
      </c>
      <c r="C2" s="228" t="s">
        <v>8</v>
      </c>
      <c r="D2" s="229" t="s">
        <v>13</v>
      </c>
      <c r="E2" s="229" t="s">
        <v>15</v>
      </c>
      <c r="F2" s="229" t="s">
        <v>17</v>
      </c>
      <c r="G2" s="229" t="s">
        <v>18</v>
      </c>
      <c r="H2" s="230" t="s">
        <v>55</v>
      </c>
      <c r="I2" s="231" t="s">
        <v>13</v>
      </c>
      <c r="J2" s="139" t="s">
        <v>15</v>
      </c>
      <c r="K2" s="139" t="s">
        <v>17</v>
      </c>
      <c r="L2" s="139" t="s">
        <v>18</v>
      </c>
      <c r="M2" s="139" t="s">
        <v>61</v>
      </c>
      <c r="N2" s="228" t="s">
        <v>9</v>
      </c>
      <c r="O2" s="228" t="s">
        <v>10</v>
      </c>
      <c r="P2" s="228" t="s">
        <v>11</v>
      </c>
      <c r="Q2" s="228" t="s">
        <v>9</v>
      </c>
      <c r="R2" s="228" t="s">
        <v>10</v>
      </c>
      <c r="S2" s="228" t="s">
        <v>11</v>
      </c>
      <c r="T2" s="228" t="s">
        <v>9</v>
      </c>
      <c r="U2" s="228" t="s">
        <v>10</v>
      </c>
      <c r="V2" s="228" t="s">
        <v>11</v>
      </c>
      <c r="W2" s="228" t="s">
        <v>9</v>
      </c>
      <c r="X2" s="228" t="s">
        <v>10</v>
      </c>
      <c r="Y2" s="228" t="s">
        <v>11</v>
      </c>
      <c r="Z2" s="564"/>
    </row>
    <row r="3" spans="1:26" ht="165" customHeight="1" x14ac:dyDescent="0.3">
      <c r="A3" s="247" t="s">
        <v>735</v>
      </c>
      <c r="B3" s="247" t="s">
        <v>149</v>
      </c>
      <c r="C3" s="247" t="s">
        <v>150</v>
      </c>
      <c r="D3" s="83">
        <v>0</v>
      </c>
      <c r="E3" s="83">
        <v>2</v>
      </c>
      <c r="F3" s="83">
        <v>9</v>
      </c>
      <c r="G3" s="83">
        <v>9</v>
      </c>
      <c r="H3" s="83">
        <f>D3+E3+F3+G3</f>
        <v>20</v>
      </c>
      <c r="I3" s="83">
        <v>0</v>
      </c>
      <c r="J3" s="83">
        <v>0</v>
      </c>
      <c r="K3" s="83">
        <v>14</v>
      </c>
      <c r="L3" s="83"/>
      <c r="M3" s="83">
        <f>I3+J3+K3+L3</f>
        <v>14</v>
      </c>
      <c r="N3" s="247">
        <v>0</v>
      </c>
      <c r="O3" s="80">
        <v>0</v>
      </c>
      <c r="P3" s="298">
        <v>25</v>
      </c>
      <c r="Q3" s="83">
        <v>0</v>
      </c>
      <c r="R3" s="83">
        <v>2</v>
      </c>
      <c r="S3" s="234">
        <v>0</v>
      </c>
      <c r="T3" s="83">
        <v>14</v>
      </c>
      <c r="U3" s="83">
        <v>9</v>
      </c>
      <c r="V3" s="235">
        <f>(T3/U3)*25</f>
        <v>38.888888888888893</v>
      </c>
      <c r="W3" s="83"/>
      <c r="X3" s="83"/>
      <c r="Y3" s="83"/>
      <c r="Z3" s="272">
        <f>P3+S3+V3+Y3</f>
        <v>63.888888888888893</v>
      </c>
    </row>
    <row r="4" spans="1:26" ht="140.25" customHeight="1" x14ac:dyDescent="0.3">
      <c r="A4" s="247" t="s">
        <v>736</v>
      </c>
      <c r="B4" s="247" t="s">
        <v>151</v>
      </c>
      <c r="C4" s="247" t="s">
        <v>152</v>
      </c>
      <c r="D4" s="83">
        <v>0</v>
      </c>
      <c r="E4" s="83">
        <v>10</v>
      </c>
      <c r="F4" s="83">
        <v>3</v>
      </c>
      <c r="G4" s="83">
        <v>10</v>
      </c>
      <c r="H4" s="83">
        <f t="shared" ref="H4:H24" si="0">D4+E4+F4+G4</f>
        <v>23</v>
      </c>
      <c r="I4" s="83">
        <v>0</v>
      </c>
      <c r="J4" s="83">
        <v>10</v>
      </c>
      <c r="K4" s="83">
        <v>4</v>
      </c>
      <c r="L4" s="83"/>
      <c r="M4" s="83">
        <f>I4+J4+K4+L4</f>
        <v>14</v>
      </c>
      <c r="N4" s="247">
        <v>0</v>
      </c>
      <c r="O4" s="192">
        <v>0</v>
      </c>
      <c r="P4" s="298">
        <v>25</v>
      </c>
      <c r="Q4" s="83">
        <v>10</v>
      </c>
      <c r="R4" s="83">
        <v>10</v>
      </c>
      <c r="S4" s="237">
        <f t="shared" ref="S4:S15" si="1">(Q4/R4)*25</f>
        <v>25</v>
      </c>
      <c r="T4" s="83">
        <v>4</v>
      </c>
      <c r="U4" s="83">
        <v>3</v>
      </c>
      <c r="V4" s="235">
        <f t="shared" ref="V4:V24" si="2">(T4/U4)*25</f>
        <v>33.333333333333329</v>
      </c>
      <c r="W4" s="83"/>
      <c r="X4" s="83"/>
      <c r="Y4" s="83"/>
      <c r="Z4" s="272">
        <f t="shared" ref="Z4:Z24" si="3">P4+S4+V4+Y4</f>
        <v>83.333333333333329</v>
      </c>
    </row>
    <row r="5" spans="1:26" ht="115.2" x14ac:dyDescent="0.3">
      <c r="A5" s="247" t="s">
        <v>737</v>
      </c>
      <c r="B5" s="247" t="s">
        <v>153</v>
      </c>
      <c r="C5" s="247" t="s">
        <v>154</v>
      </c>
      <c r="D5" s="83">
        <v>0</v>
      </c>
      <c r="E5" s="83">
        <v>20</v>
      </c>
      <c r="F5" s="83">
        <v>30</v>
      </c>
      <c r="G5" s="83">
        <v>20</v>
      </c>
      <c r="H5" s="83">
        <f t="shared" si="0"/>
        <v>70</v>
      </c>
      <c r="I5" s="83">
        <v>0</v>
      </c>
      <c r="J5" s="83">
        <v>20</v>
      </c>
      <c r="K5" s="83">
        <v>4</v>
      </c>
      <c r="L5" s="83"/>
      <c r="M5" s="83">
        <f>I5+J5+K5+L5</f>
        <v>24</v>
      </c>
      <c r="N5" s="247">
        <v>0</v>
      </c>
      <c r="O5" s="192">
        <v>0</v>
      </c>
      <c r="P5" s="298">
        <v>25</v>
      </c>
      <c r="Q5" s="83">
        <v>20</v>
      </c>
      <c r="R5" s="83">
        <v>20</v>
      </c>
      <c r="S5" s="237">
        <f t="shared" si="1"/>
        <v>25</v>
      </c>
      <c r="T5" s="83">
        <v>4</v>
      </c>
      <c r="U5" s="83">
        <v>30</v>
      </c>
      <c r="V5" s="233">
        <f t="shared" si="2"/>
        <v>3.3333333333333335</v>
      </c>
      <c r="W5" s="83"/>
      <c r="X5" s="83"/>
      <c r="Y5" s="83"/>
      <c r="Z5" s="233">
        <f t="shared" si="3"/>
        <v>53.333333333333336</v>
      </c>
    </row>
    <row r="6" spans="1:26" s="300" customFormat="1" ht="100.8" x14ac:dyDescent="0.3">
      <c r="A6" s="299" t="s">
        <v>738</v>
      </c>
      <c r="B6" s="299" t="s">
        <v>730</v>
      </c>
      <c r="C6" s="299" t="s">
        <v>155</v>
      </c>
      <c r="D6" s="91">
        <v>0</v>
      </c>
      <c r="E6" s="91">
        <v>129</v>
      </c>
      <c r="F6" s="91">
        <v>132</v>
      </c>
      <c r="G6" s="91"/>
      <c r="H6" s="83">
        <f t="shared" si="0"/>
        <v>261</v>
      </c>
      <c r="I6" s="91">
        <v>0</v>
      </c>
      <c r="J6" s="91">
        <v>70</v>
      </c>
      <c r="K6" s="91">
        <v>77</v>
      </c>
      <c r="L6" s="91"/>
      <c r="M6" s="83">
        <f t="shared" ref="M6:M24" si="4">I6+J6+K6+L6</f>
        <v>147</v>
      </c>
      <c r="N6" s="299">
        <v>0</v>
      </c>
      <c r="O6" s="205">
        <v>0</v>
      </c>
      <c r="P6" s="298">
        <v>25</v>
      </c>
      <c r="Q6" s="91">
        <v>70</v>
      </c>
      <c r="R6" s="91">
        <v>129</v>
      </c>
      <c r="S6" s="233">
        <f t="shared" si="1"/>
        <v>13.565891472868216</v>
      </c>
      <c r="T6" s="91">
        <v>77</v>
      </c>
      <c r="U6" s="91">
        <v>132</v>
      </c>
      <c r="V6" s="233">
        <f t="shared" si="2"/>
        <v>14.583333333333334</v>
      </c>
      <c r="W6" s="91"/>
      <c r="X6" s="91"/>
      <c r="Y6" s="91"/>
      <c r="Z6" s="244">
        <f t="shared" si="3"/>
        <v>53.149224806201552</v>
      </c>
    </row>
    <row r="7" spans="1:26" ht="72" x14ac:dyDescent="0.3">
      <c r="A7" s="247" t="s">
        <v>739</v>
      </c>
      <c r="B7" s="247" t="s">
        <v>156</v>
      </c>
      <c r="C7" s="247" t="s">
        <v>157</v>
      </c>
      <c r="D7" s="83">
        <v>2</v>
      </c>
      <c r="E7" s="83">
        <v>3</v>
      </c>
      <c r="F7" s="83">
        <v>3</v>
      </c>
      <c r="G7" s="83">
        <v>2</v>
      </c>
      <c r="H7" s="83">
        <f t="shared" si="0"/>
        <v>10</v>
      </c>
      <c r="I7" s="83">
        <v>2</v>
      </c>
      <c r="J7" s="83">
        <v>3</v>
      </c>
      <c r="K7" s="83">
        <v>3</v>
      </c>
      <c r="L7" s="83"/>
      <c r="M7" s="83">
        <f t="shared" si="4"/>
        <v>8</v>
      </c>
      <c r="N7" s="247">
        <v>2</v>
      </c>
      <c r="O7" s="192">
        <v>2</v>
      </c>
      <c r="P7" s="298">
        <f t="shared" ref="P7:P23" si="5">N7/O7*25</f>
        <v>25</v>
      </c>
      <c r="Q7" s="83">
        <v>3</v>
      </c>
      <c r="R7" s="83">
        <v>3</v>
      </c>
      <c r="S7" s="237">
        <f t="shared" si="1"/>
        <v>25</v>
      </c>
      <c r="T7" s="83">
        <v>3</v>
      </c>
      <c r="U7" s="83">
        <v>3</v>
      </c>
      <c r="V7" s="235">
        <f t="shared" si="2"/>
        <v>25</v>
      </c>
      <c r="W7" s="83"/>
      <c r="X7" s="83"/>
      <c r="Y7" s="83"/>
      <c r="Z7" s="237">
        <f t="shared" si="3"/>
        <v>75</v>
      </c>
    </row>
    <row r="8" spans="1:26" ht="72" x14ac:dyDescent="0.3">
      <c r="A8" s="247" t="s">
        <v>147</v>
      </c>
      <c r="B8" s="247" t="s">
        <v>158</v>
      </c>
      <c r="C8" s="247" t="s">
        <v>159</v>
      </c>
      <c r="D8" s="83">
        <v>22</v>
      </c>
      <c r="E8" s="83">
        <v>20</v>
      </c>
      <c r="F8" s="83">
        <v>9</v>
      </c>
      <c r="G8" s="83"/>
      <c r="H8" s="83">
        <f t="shared" si="0"/>
        <v>51</v>
      </c>
      <c r="I8" s="83">
        <v>22</v>
      </c>
      <c r="J8" s="83">
        <v>20</v>
      </c>
      <c r="K8" s="83">
        <v>9</v>
      </c>
      <c r="L8" s="83"/>
      <c r="M8" s="83">
        <f t="shared" si="4"/>
        <v>51</v>
      </c>
      <c r="N8" s="247">
        <v>22</v>
      </c>
      <c r="O8" s="192">
        <v>22</v>
      </c>
      <c r="P8" s="298">
        <f t="shared" si="5"/>
        <v>25</v>
      </c>
      <c r="Q8" s="83">
        <v>20</v>
      </c>
      <c r="R8" s="83">
        <v>20</v>
      </c>
      <c r="S8" s="237">
        <f t="shared" si="1"/>
        <v>25</v>
      </c>
      <c r="T8" s="83">
        <v>9</v>
      </c>
      <c r="U8" s="83">
        <v>28</v>
      </c>
      <c r="V8" s="233">
        <f t="shared" si="2"/>
        <v>8.0357142857142865</v>
      </c>
      <c r="W8" s="83"/>
      <c r="X8" s="83"/>
      <c r="Y8" s="83"/>
      <c r="Z8" s="233">
        <f t="shared" si="3"/>
        <v>58.035714285714285</v>
      </c>
    </row>
    <row r="9" spans="1:26" ht="86.4" x14ac:dyDescent="0.3">
      <c r="A9" s="301" t="s">
        <v>740</v>
      </c>
      <c r="B9" s="301" t="s">
        <v>741</v>
      </c>
      <c r="C9" s="301" t="s">
        <v>742</v>
      </c>
      <c r="D9" s="83">
        <v>0</v>
      </c>
      <c r="E9" s="83">
        <v>100</v>
      </c>
      <c r="F9" s="83">
        <v>100</v>
      </c>
      <c r="G9" s="83">
        <v>50</v>
      </c>
      <c r="H9" s="83">
        <f t="shared" si="0"/>
        <v>250</v>
      </c>
      <c r="I9" s="83">
        <v>0</v>
      </c>
      <c r="J9" s="83">
        <v>139</v>
      </c>
      <c r="K9" s="83">
        <v>0</v>
      </c>
      <c r="L9" s="83"/>
      <c r="M9" s="83">
        <f t="shared" si="4"/>
        <v>139</v>
      </c>
      <c r="N9" s="247">
        <v>0</v>
      </c>
      <c r="O9" s="192">
        <v>0</v>
      </c>
      <c r="P9" s="298">
        <v>25</v>
      </c>
      <c r="Q9" s="83">
        <v>139</v>
      </c>
      <c r="R9" s="83">
        <v>100</v>
      </c>
      <c r="S9" s="235">
        <f t="shared" si="1"/>
        <v>34.75</v>
      </c>
      <c r="T9" s="83">
        <v>0</v>
      </c>
      <c r="U9" s="83">
        <v>1</v>
      </c>
      <c r="V9" s="233">
        <f t="shared" si="2"/>
        <v>0</v>
      </c>
      <c r="W9" s="83"/>
      <c r="X9" s="83"/>
      <c r="Y9" s="83"/>
      <c r="Z9" s="233">
        <f t="shared" si="3"/>
        <v>59.75</v>
      </c>
    </row>
    <row r="10" spans="1:26" ht="86.4" x14ac:dyDescent="0.3">
      <c r="A10" s="247" t="s">
        <v>743</v>
      </c>
      <c r="B10" s="247" t="s">
        <v>160</v>
      </c>
      <c r="C10" s="247" t="s">
        <v>161</v>
      </c>
      <c r="D10" s="83">
        <v>13</v>
      </c>
      <c r="E10" s="83">
        <v>13</v>
      </c>
      <c r="F10" s="83">
        <v>13</v>
      </c>
      <c r="G10" s="83">
        <v>13</v>
      </c>
      <c r="H10" s="83">
        <f t="shared" si="0"/>
        <v>52</v>
      </c>
      <c r="I10" s="83">
        <v>13</v>
      </c>
      <c r="J10" s="83">
        <v>13</v>
      </c>
      <c r="K10" s="83">
        <v>12</v>
      </c>
      <c r="L10" s="83"/>
      <c r="M10" s="83">
        <f t="shared" si="4"/>
        <v>38</v>
      </c>
      <c r="N10" s="247">
        <v>13</v>
      </c>
      <c r="O10" s="192">
        <v>13</v>
      </c>
      <c r="P10" s="298">
        <f>N10/O10*25</f>
        <v>25</v>
      </c>
      <c r="Q10" s="83">
        <v>13</v>
      </c>
      <c r="R10" s="83">
        <v>13</v>
      </c>
      <c r="S10" s="237">
        <f t="shared" si="1"/>
        <v>25</v>
      </c>
      <c r="T10" s="83">
        <v>12</v>
      </c>
      <c r="U10" s="83">
        <v>13</v>
      </c>
      <c r="V10" s="235">
        <f t="shared" si="2"/>
        <v>23.076923076923077</v>
      </c>
      <c r="W10" s="83"/>
      <c r="X10" s="83"/>
      <c r="Y10" s="83"/>
      <c r="Z10" s="235">
        <f t="shared" si="3"/>
        <v>73.07692307692308</v>
      </c>
    </row>
    <row r="11" spans="1:26" ht="100.8" x14ac:dyDescent="0.3">
      <c r="A11" s="247" t="s">
        <v>744</v>
      </c>
      <c r="B11" s="247" t="s">
        <v>318</v>
      </c>
      <c r="C11" s="247" t="s">
        <v>319</v>
      </c>
      <c r="D11" s="83">
        <v>1</v>
      </c>
      <c r="E11" s="83">
        <v>1</v>
      </c>
      <c r="F11" s="83">
        <v>1</v>
      </c>
      <c r="G11" s="83">
        <v>1</v>
      </c>
      <c r="H11" s="83">
        <f t="shared" si="0"/>
        <v>4</v>
      </c>
      <c r="I11" s="83">
        <v>1</v>
      </c>
      <c r="J11" s="83">
        <v>1</v>
      </c>
      <c r="K11" s="83">
        <v>0</v>
      </c>
      <c r="L11" s="83"/>
      <c r="M11" s="83">
        <f t="shared" si="4"/>
        <v>2</v>
      </c>
      <c r="N11" s="247">
        <v>1</v>
      </c>
      <c r="O11" s="192">
        <v>1</v>
      </c>
      <c r="P11" s="298">
        <f t="shared" si="5"/>
        <v>25</v>
      </c>
      <c r="Q11" s="83">
        <v>1</v>
      </c>
      <c r="R11" s="83">
        <v>1</v>
      </c>
      <c r="S11" s="237">
        <f t="shared" si="1"/>
        <v>25</v>
      </c>
      <c r="T11" s="83">
        <v>0</v>
      </c>
      <c r="U11" s="83">
        <v>1</v>
      </c>
      <c r="V11" s="233">
        <f t="shared" si="2"/>
        <v>0</v>
      </c>
      <c r="W11" s="83"/>
      <c r="X11" s="83"/>
      <c r="Y11" s="83"/>
      <c r="Z11" s="234">
        <f t="shared" si="3"/>
        <v>50</v>
      </c>
    </row>
    <row r="12" spans="1:26" ht="100.8" x14ac:dyDescent="0.3">
      <c r="A12" s="247" t="s">
        <v>745</v>
      </c>
      <c r="B12" s="247" t="s">
        <v>162</v>
      </c>
      <c r="C12" s="247" t="s">
        <v>163</v>
      </c>
      <c r="D12" s="83">
        <v>3</v>
      </c>
      <c r="E12" s="83">
        <v>3</v>
      </c>
      <c r="F12" s="83">
        <v>3</v>
      </c>
      <c r="G12" s="83">
        <v>4</v>
      </c>
      <c r="H12" s="83">
        <f t="shared" si="0"/>
        <v>13</v>
      </c>
      <c r="I12" s="83">
        <v>3</v>
      </c>
      <c r="J12" s="83">
        <v>3</v>
      </c>
      <c r="K12" s="83">
        <v>3</v>
      </c>
      <c r="L12" s="83"/>
      <c r="M12" s="83">
        <f t="shared" si="4"/>
        <v>9</v>
      </c>
      <c r="N12" s="247">
        <v>3</v>
      </c>
      <c r="O12" s="192">
        <v>3</v>
      </c>
      <c r="P12" s="298">
        <f t="shared" si="5"/>
        <v>25</v>
      </c>
      <c r="Q12" s="83">
        <v>3</v>
      </c>
      <c r="R12" s="83">
        <v>3</v>
      </c>
      <c r="S12" s="237">
        <f t="shared" si="1"/>
        <v>25</v>
      </c>
      <c r="T12" s="83">
        <v>3</v>
      </c>
      <c r="U12" s="83">
        <v>3</v>
      </c>
      <c r="V12" s="235">
        <f t="shared" si="2"/>
        <v>25</v>
      </c>
      <c r="W12" s="83"/>
      <c r="X12" s="83"/>
      <c r="Y12" s="83"/>
      <c r="Z12" s="237">
        <f t="shared" si="3"/>
        <v>75</v>
      </c>
    </row>
    <row r="13" spans="1:26" ht="108.75" customHeight="1" x14ac:dyDescent="0.3">
      <c r="A13" s="247" t="s">
        <v>746</v>
      </c>
      <c r="B13" s="247" t="s">
        <v>732</v>
      </c>
      <c r="C13" s="247" t="s">
        <v>731</v>
      </c>
      <c r="D13" s="83">
        <v>13</v>
      </c>
      <c r="E13" s="83">
        <v>13</v>
      </c>
      <c r="F13" s="83">
        <v>13</v>
      </c>
      <c r="G13" s="83">
        <v>13</v>
      </c>
      <c r="H13" s="83">
        <f t="shared" si="0"/>
        <v>52</v>
      </c>
      <c r="I13" s="83">
        <v>13</v>
      </c>
      <c r="J13" s="83">
        <v>13</v>
      </c>
      <c r="K13" s="83">
        <v>13</v>
      </c>
      <c r="L13" s="83"/>
      <c r="M13" s="83">
        <f t="shared" si="4"/>
        <v>39</v>
      </c>
      <c r="N13" s="247">
        <v>13</v>
      </c>
      <c r="O13" s="192">
        <v>13</v>
      </c>
      <c r="P13" s="298">
        <f t="shared" si="5"/>
        <v>25</v>
      </c>
      <c r="Q13" s="83">
        <v>13</v>
      </c>
      <c r="R13" s="83">
        <v>13</v>
      </c>
      <c r="S13" s="237">
        <f t="shared" si="1"/>
        <v>25</v>
      </c>
      <c r="T13" s="83">
        <v>13</v>
      </c>
      <c r="U13" s="83">
        <v>13</v>
      </c>
      <c r="V13" s="235">
        <f t="shared" si="2"/>
        <v>25</v>
      </c>
      <c r="W13" s="83"/>
      <c r="X13" s="83"/>
      <c r="Y13" s="83"/>
      <c r="Z13" s="237">
        <f t="shared" si="3"/>
        <v>75</v>
      </c>
    </row>
    <row r="14" spans="1:26" ht="72" x14ac:dyDescent="0.3">
      <c r="A14" s="247" t="s">
        <v>747</v>
      </c>
      <c r="B14" s="247" t="s">
        <v>733</v>
      </c>
      <c r="C14" s="247" t="s">
        <v>734</v>
      </c>
      <c r="D14" s="83">
        <v>2340</v>
      </c>
      <c r="E14" s="83">
        <v>2123</v>
      </c>
      <c r="F14" s="83">
        <v>7965</v>
      </c>
      <c r="G14" s="83"/>
      <c r="H14" s="83">
        <f t="shared" si="0"/>
        <v>12428</v>
      </c>
      <c r="I14" s="83">
        <v>728</v>
      </c>
      <c r="J14" s="83">
        <v>1368</v>
      </c>
      <c r="K14" s="83">
        <v>7587</v>
      </c>
      <c r="L14" s="83"/>
      <c r="M14" s="83">
        <f t="shared" si="4"/>
        <v>9683</v>
      </c>
      <c r="N14" s="247">
        <v>728</v>
      </c>
      <c r="O14" s="192">
        <v>2340</v>
      </c>
      <c r="P14" s="302">
        <f t="shared" si="5"/>
        <v>7.7777777777777777</v>
      </c>
      <c r="Q14" s="83">
        <v>1368</v>
      </c>
      <c r="R14" s="83">
        <v>2123</v>
      </c>
      <c r="S14" s="246">
        <f t="shared" si="1"/>
        <v>16.109279321714553</v>
      </c>
      <c r="T14" s="83">
        <v>7587</v>
      </c>
      <c r="U14" s="83">
        <v>7965</v>
      </c>
      <c r="V14" s="272">
        <f t="shared" si="2"/>
        <v>23.813559322033896</v>
      </c>
      <c r="W14" s="83"/>
      <c r="X14" s="83"/>
      <c r="Y14" s="83"/>
      <c r="Z14" s="244">
        <f t="shared" si="3"/>
        <v>47.700616421526227</v>
      </c>
    </row>
    <row r="15" spans="1:26" ht="86.4" x14ac:dyDescent="0.3">
      <c r="A15" s="247" t="s">
        <v>748</v>
      </c>
      <c r="B15" s="247" t="s">
        <v>321</v>
      </c>
      <c r="C15" s="247" t="s">
        <v>320</v>
      </c>
      <c r="D15" s="83">
        <v>8</v>
      </c>
      <c r="E15" s="83">
        <v>15</v>
      </c>
      <c r="F15" s="83">
        <v>15</v>
      </c>
      <c r="G15" s="83">
        <v>14</v>
      </c>
      <c r="H15" s="83">
        <f t="shared" si="0"/>
        <v>52</v>
      </c>
      <c r="I15" s="83">
        <v>8</v>
      </c>
      <c r="J15" s="83">
        <v>15</v>
      </c>
      <c r="K15" s="83">
        <v>12</v>
      </c>
      <c r="L15" s="83"/>
      <c r="M15" s="83">
        <f t="shared" si="4"/>
        <v>35</v>
      </c>
      <c r="N15" s="247">
        <v>8</v>
      </c>
      <c r="O15" s="192">
        <v>8</v>
      </c>
      <c r="P15" s="298">
        <f t="shared" si="5"/>
        <v>25</v>
      </c>
      <c r="Q15" s="83">
        <v>15</v>
      </c>
      <c r="R15" s="83">
        <v>15</v>
      </c>
      <c r="S15" s="237">
        <f t="shared" si="1"/>
        <v>25</v>
      </c>
      <c r="T15" s="83">
        <v>12</v>
      </c>
      <c r="U15" s="83">
        <v>15</v>
      </c>
      <c r="V15" s="272">
        <f t="shared" si="2"/>
        <v>20</v>
      </c>
      <c r="W15" s="83"/>
      <c r="X15" s="83"/>
      <c r="Y15" s="83"/>
      <c r="Z15" s="271">
        <f t="shared" si="3"/>
        <v>70</v>
      </c>
    </row>
    <row r="16" spans="1:26" ht="144" x14ac:dyDescent="0.3">
      <c r="A16" s="247" t="s">
        <v>749</v>
      </c>
      <c r="B16" s="247" t="s">
        <v>323</v>
      </c>
      <c r="C16" s="247" t="s">
        <v>322</v>
      </c>
      <c r="D16" s="83">
        <v>0</v>
      </c>
      <c r="E16" s="83">
        <v>0</v>
      </c>
      <c r="F16" s="83">
        <v>0</v>
      </c>
      <c r="G16" s="83">
        <v>1</v>
      </c>
      <c r="H16" s="83">
        <f t="shared" si="0"/>
        <v>1</v>
      </c>
      <c r="I16" s="83">
        <v>0</v>
      </c>
      <c r="J16" s="83">
        <v>0</v>
      </c>
      <c r="K16" s="83">
        <v>0</v>
      </c>
      <c r="L16" s="83"/>
      <c r="M16" s="83">
        <f t="shared" si="4"/>
        <v>0</v>
      </c>
      <c r="N16" s="247">
        <v>0</v>
      </c>
      <c r="O16" s="192">
        <v>0</v>
      </c>
      <c r="P16" s="298">
        <v>25</v>
      </c>
      <c r="Q16" s="83">
        <v>0</v>
      </c>
      <c r="R16" s="83">
        <v>0</v>
      </c>
      <c r="S16" s="237">
        <v>25</v>
      </c>
      <c r="T16" s="83">
        <v>0</v>
      </c>
      <c r="U16" s="83">
        <v>0</v>
      </c>
      <c r="V16" s="235">
        <v>25</v>
      </c>
      <c r="W16" s="83"/>
      <c r="X16" s="83"/>
      <c r="Y16" s="83"/>
      <c r="Z16" s="237">
        <f t="shared" si="3"/>
        <v>75</v>
      </c>
    </row>
    <row r="17" spans="1:26" ht="57.6" x14ac:dyDescent="0.3">
      <c r="A17" s="247" t="s">
        <v>750</v>
      </c>
      <c r="B17" s="247" t="s">
        <v>164</v>
      </c>
      <c r="C17" s="247" t="s">
        <v>164</v>
      </c>
      <c r="D17" s="83">
        <v>0</v>
      </c>
      <c r="E17" s="83">
        <v>1</v>
      </c>
      <c r="F17" s="83">
        <v>0</v>
      </c>
      <c r="G17" s="83">
        <v>0</v>
      </c>
      <c r="H17" s="83">
        <f t="shared" si="0"/>
        <v>1</v>
      </c>
      <c r="I17" s="83">
        <v>0</v>
      </c>
      <c r="J17" s="83">
        <v>1</v>
      </c>
      <c r="K17" s="83"/>
      <c r="L17" s="83"/>
      <c r="M17" s="83">
        <f t="shared" si="4"/>
        <v>1</v>
      </c>
      <c r="N17" s="247">
        <v>0</v>
      </c>
      <c r="O17" s="192">
        <v>0</v>
      </c>
      <c r="P17" s="298">
        <v>25</v>
      </c>
      <c r="Q17" s="83">
        <v>1</v>
      </c>
      <c r="R17" s="83">
        <v>1</v>
      </c>
      <c r="S17" s="237">
        <v>25</v>
      </c>
      <c r="T17" s="83">
        <v>0</v>
      </c>
      <c r="U17" s="83">
        <v>0</v>
      </c>
      <c r="V17" s="235">
        <v>25</v>
      </c>
      <c r="W17" s="83"/>
      <c r="X17" s="83"/>
      <c r="Y17" s="83"/>
      <c r="Z17" s="237">
        <f t="shared" si="3"/>
        <v>75</v>
      </c>
    </row>
    <row r="18" spans="1:26" ht="86.4" x14ac:dyDescent="0.3">
      <c r="A18" s="247" t="s">
        <v>751</v>
      </c>
      <c r="B18" s="247" t="s">
        <v>165</v>
      </c>
      <c r="C18" s="247" t="s">
        <v>166</v>
      </c>
      <c r="D18" s="83">
        <v>1</v>
      </c>
      <c r="E18" s="83">
        <v>1</v>
      </c>
      <c r="F18" s="83">
        <v>1</v>
      </c>
      <c r="G18" s="83">
        <v>1</v>
      </c>
      <c r="H18" s="83">
        <f t="shared" si="0"/>
        <v>4</v>
      </c>
      <c r="I18" s="83">
        <v>1</v>
      </c>
      <c r="J18" s="83">
        <v>1</v>
      </c>
      <c r="K18" s="83">
        <v>1</v>
      </c>
      <c r="L18" s="83"/>
      <c r="M18" s="83">
        <f t="shared" si="4"/>
        <v>3</v>
      </c>
      <c r="N18" s="247">
        <v>1</v>
      </c>
      <c r="O18" s="192">
        <v>1</v>
      </c>
      <c r="P18" s="298">
        <f t="shared" si="5"/>
        <v>25</v>
      </c>
      <c r="Q18" s="83">
        <v>1</v>
      </c>
      <c r="R18" s="83">
        <v>1</v>
      </c>
      <c r="S18" s="237">
        <v>25</v>
      </c>
      <c r="T18" s="83">
        <v>1</v>
      </c>
      <c r="U18" s="83">
        <v>1</v>
      </c>
      <c r="V18" s="235">
        <f t="shared" si="2"/>
        <v>25</v>
      </c>
      <c r="W18" s="83"/>
      <c r="X18" s="83"/>
      <c r="Y18" s="83"/>
      <c r="Z18" s="237">
        <f t="shared" si="3"/>
        <v>75</v>
      </c>
    </row>
    <row r="19" spans="1:26" ht="115.2" x14ac:dyDescent="0.3">
      <c r="A19" s="247" t="s">
        <v>752</v>
      </c>
      <c r="B19" s="247" t="s">
        <v>167</v>
      </c>
      <c r="C19" s="247" t="s">
        <v>168</v>
      </c>
      <c r="D19" s="83">
        <v>0</v>
      </c>
      <c r="E19" s="83">
        <v>0</v>
      </c>
      <c r="F19" s="83">
        <v>15</v>
      </c>
      <c r="G19" s="83">
        <v>14</v>
      </c>
      <c r="H19" s="83">
        <f>D19+E19+F19+G19</f>
        <v>29</v>
      </c>
      <c r="I19" s="83">
        <v>0</v>
      </c>
      <c r="J19" s="83">
        <v>0</v>
      </c>
      <c r="K19" s="83">
        <v>24</v>
      </c>
      <c r="L19" s="83"/>
      <c r="M19" s="83">
        <f t="shared" si="4"/>
        <v>24</v>
      </c>
      <c r="N19" s="247">
        <v>0</v>
      </c>
      <c r="O19" s="192">
        <v>0</v>
      </c>
      <c r="P19" s="298">
        <v>25</v>
      </c>
      <c r="Q19" s="83">
        <v>0</v>
      </c>
      <c r="R19" s="83">
        <v>0</v>
      </c>
      <c r="S19" s="237">
        <v>25</v>
      </c>
      <c r="T19" s="83">
        <v>24</v>
      </c>
      <c r="U19" s="83">
        <v>15</v>
      </c>
      <c r="V19" s="235">
        <f t="shared" si="2"/>
        <v>40</v>
      </c>
      <c r="W19" s="83"/>
      <c r="X19" s="83"/>
      <c r="Y19" s="83"/>
      <c r="Z19" s="237">
        <f t="shared" si="3"/>
        <v>90</v>
      </c>
    </row>
    <row r="20" spans="1:26" ht="131.25" customHeight="1" x14ac:dyDescent="0.3">
      <c r="A20" s="304" t="s">
        <v>889</v>
      </c>
      <c r="B20" s="247" t="s">
        <v>753</v>
      </c>
      <c r="C20" s="247" t="s">
        <v>754</v>
      </c>
      <c r="D20" s="83">
        <v>0</v>
      </c>
      <c r="E20" s="83">
        <v>200</v>
      </c>
      <c r="F20" s="83">
        <v>200</v>
      </c>
      <c r="G20" s="83">
        <v>200</v>
      </c>
      <c r="H20" s="83">
        <f t="shared" si="0"/>
        <v>600</v>
      </c>
      <c r="I20" s="83">
        <v>0</v>
      </c>
      <c r="J20" s="83">
        <v>391</v>
      </c>
      <c r="K20" s="83">
        <v>328</v>
      </c>
      <c r="L20" s="83"/>
      <c r="M20" s="83">
        <f t="shared" si="4"/>
        <v>719</v>
      </c>
      <c r="N20" s="247">
        <v>0</v>
      </c>
      <c r="O20" s="192">
        <v>0</v>
      </c>
      <c r="P20" s="298">
        <v>25</v>
      </c>
      <c r="Q20" s="83">
        <v>391</v>
      </c>
      <c r="R20" s="83">
        <v>200</v>
      </c>
      <c r="S20" s="235">
        <f>(Q20/R20)*25</f>
        <v>48.875</v>
      </c>
      <c r="T20" s="83">
        <v>328</v>
      </c>
      <c r="U20" s="83">
        <v>200</v>
      </c>
      <c r="V20" s="235">
        <f t="shared" si="2"/>
        <v>41</v>
      </c>
      <c r="W20" s="83"/>
      <c r="X20" s="83"/>
      <c r="Y20" s="83"/>
      <c r="Z20" s="235">
        <f t="shared" si="3"/>
        <v>114.875</v>
      </c>
    </row>
    <row r="21" spans="1:26" ht="86.4" x14ac:dyDescent="0.3">
      <c r="A21" s="247" t="s">
        <v>755</v>
      </c>
      <c r="B21" s="247" t="s">
        <v>756</v>
      </c>
      <c r="C21" s="247" t="s">
        <v>757</v>
      </c>
      <c r="D21" s="83">
        <v>0</v>
      </c>
      <c r="E21" s="83">
        <v>0</v>
      </c>
      <c r="F21" s="83">
        <v>1</v>
      </c>
      <c r="G21" s="83">
        <v>0</v>
      </c>
      <c r="H21" s="83">
        <f t="shared" si="0"/>
        <v>1</v>
      </c>
      <c r="I21" s="83">
        <v>1</v>
      </c>
      <c r="J21" s="83">
        <v>0</v>
      </c>
      <c r="K21" s="91">
        <v>0</v>
      </c>
      <c r="L21" s="83"/>
      <c r="M21" s="83">
        <f t="shared" si="4"/>
        <v>1</v>
      </c>
      <c r="N21" s="247">
        <v>0</v>
      </c>
      <c r="O21" s="192">
        <v>0</v>
      </c>
      <c r="P21" s="298">
        <v>25</v>
      </c>
      <c r="Q21" s="83">
        <v>7</v>
      </c>
      <c r="R21" s="83">
        <v>7</v>
      </c>
      <c r="S21" s="237">
        <v>25</v>
      </c>
      <c r="T21" s="83">
        <v>0</v>
      </c>
      <c r="U21" s="83">
        <v>1</v>
      </c>
      <c r="V21" s="233">
        <f t="shared" si="2"/>
        <v>0</v>
      </c>
      <c r="W21" s="83"/>
      <c r="X21" s="83"/>
      <c r="Y21" s="83"/>
      <c r="Z21" s="234">
        <f t="shared" si="3"/>
        <v>50</v>
      </c>
    </row>
    <row r="22" spans="1:26" ht="144" x14ac:dyDescent="0.3">
      <c r="A22" s="247" t="s">
        <v>148</v>
      </c>
      <c r="B22" s="247" t="s">
        <v>324</v>
      </c>
      <c r="C22" s="247" t="s">
        <v>325</v>
      </c>
      <c r="D22" s="83">
        <v>1</v>
      </c>
      <c r="E22" s="83">
        <v>0</v>
      </c>
      <c r="F22" s="83">
        <v>0</v>
      </c>
      <c r="G22" s="83">
        <v>0</v>
      </c>
      <c r="H22" s="83">
        <f t="shared" si="0"/>
        <v>1</v>
      </c>
      <c r="I22" s="83">
        <v>1</v>
      </c>
      <c r="J22" s="83">
        <v>0</v>
      </c>
      <c r="K22" s="83">
        <v>0</v>
      </c>
      <c r="L22" s="83"/>
      <c r="M22" s="83">
        <f t="shared" si="4"/>
        <v>1</v>
      </c>
      <c r="N22" s="247">
        <v>1</v>
      </c>
      <c r="O22" s="192">
        <v>1</v>
      </c>
      <c r="P22" s="298">
        <v>25</v>
      </c>
      <c r="Q22" s="83">
        <v>0</v>
      </c>
      <c r="R22" s="83">
        <v>0</v>
      </c>
      <c r="S22" s="237">
        <v>25</v>
      </c>
      <c r="T22" s="83">
        <v>0</v>
      </c>
      <c r="U22" s="83">
        <v>0</v>
      </c>
      <c r="V22" s="235">
        <v>25</v>
      </c>
      <c r="W22" s="83"/>
      <c r="X22" s="83"/>
      <c r="Y22" s="83"/>
      <c r="Z22" s="237">
        <f t="shared" si="3"/>
        <v>75</v>
      </c>
    </row>
    <row r="23" spans="1:26" s="300" customFormat="1" ht="57.6" x14ac:dyDescent="0.3">
      <c r="A23" s="299" t="s">
        <v>758</v>
      </c>
      <c r="B23" s="299" t="s">
        <v>169</v>
      </c>
      <c r="C23" s="299" t="s">
        <v>170</v>
      </c>
      <c r="D23" s="91">
        <v>1</v>
      </c>
      <c r="E23" s="91">
        <v>6</v>
      </c>
      <c r="F23" s="91">
        <v>14</v>
      </c>
      <c r="G23" s="91"/>
      <c r="H23" s="83">
        <f t="shared" si="0"/>
        <v>21</v>
      </c>
      <c r="I23" s="91">
        <v>1</v>
      </c>
      <c r="J23" s="91">
        <v>6</v>
      </c>
      <c r="K23" s="91">
        <v>14</v>
      </c>
      <c r="L23" s="91"/>
      <c r="M23" s="83">
        <f t="shared" si="4"/>
        <v>21</v>
      </c>
      <c r="N23" s="299">
        <v>1</v>
      </c>
      <c r="O23" s="206">
        <v>1</v>
      </c>
      <c r="P23" s="298">
        <f t="shared" si="5"/>
        <v>25</v>
      </c>
      <c r="Q23" s="91">
        <v>6</v>
      </c>
      <c r="R23" s="91">
        <v>6</v>
      </c>
      <c r="S23" s="237">
        <v>25</v>
      </c>
      <c r="T23" s="91">
        <v>14</v>
      </c>
      <c r="U23" s="91">
        <v>14</v>
      </c>
      <c r="V23" s="235">
        <f t="shared" si="2"/>
        <v>25</v>
      </c>
      <c r="W23" s="91"/>
      <c r="X23" s="91"/>
      <c r="Y23" s="91"/>
      <c r="Z23" s="237">
        <f t="shared" si="3"/>
        <v>75</v>
      </c>
    </row>
    <row r="24" spans="1:26" s="300" customFormat="1" ht="85.5" customHeight="1" x14ac:dyDescent="0.3">
      <c r="A24" s="299" t="s">
        <v>759</v>
      </c>
      <c r="B24" s="299" t="s">
        <v>760</v>
      </c>
      <c r="C24" s="299" t="s">
        <v>761</v>
      </c>
      <c r="D24" s="91">
        <v>1</v>
      </c>
      <c r="E24" s="91">
        <v>3</v>
      </c>
      <c r="F24" s="91">
        <v>3</v>
      </c>
      <c r="G24" s="91">
        <v>3</v>
      </c>
      <c r="H24" s="83">
        <f t="shared" si="0"/>
        <v>10</v>
      </c>
      <c r="I24" s="91">
        <v>2</v>
      </c>
      <c r="J24" s="91">
        <v>3</v>
      </c>
      <c r="K24" s="91">
        <v>3</v>
      </c>
      <c r="L24" s="91"/>
      <c r="M24" s="83">
        <f t="shared" si="4"/>
        <v>8</v>
      </c>
      <c r="N24" s="299">
        <v>2</v>
      </c>
      <c r="O24" s="206">
        <v>1</v>
      </c>
      <c r="P24" s="298">
        <f>N24/O24*25</f>
        <v>50</v>
      </c>
      <c r="Q24" s="91">
        <v>3</v>
      </c>
      <c r="R24" s="91">
        <v>3</v>
      </c>
      <c r="S24" s="237">
        <v>25</v>
      </c>
      <c r="T24" s="91">
        <v>3</v>
      </c>
      <c r="U24" s="91">
        <v>1</v>
      </c>
      <c r="V24" s="235">
        <f t="shared" si="2"/>
        <v>75</v>
      </c>
      <c r="W24" s="91"/>
      <c r="X24" s="91"/>
      <c r="Y24" s="91"/>
      <c r="Z24" s="237">
        <f t="shared" si="3"/>
        <v>150</v>
      </c>
    </row>
    <row r="26" spans="1:26" ht="27.6" x14ac:dyDescent="0.3">
      <c r="A26" s="260" t="s">
        <v>121</v>
      </c>
      <c r="B26" s="261"/>
      <c r="C26" s="262" t="s">
        <v>120</v>
      </c>
      <c r="F26" s="569" t="s">
        <v>762</v>
      </c>
      <c r="G26" s="569"/>
      <c r="H26" s="569"/>
      <c r="K26" s="545" t="s">
        <v>984</v>
      </c>
      <c r="L26" s="569"/>
      <c r="M26" s="569"/>
      <c r="O26" s="565" t="s">
        <v>116</v>
      </c>
      <c r="P26" s="565"/>
      <c r="Q26" s="565"/>
    </row>
    <row r="27" spans="1:26" ht="41.4" x14ac:dyDescent="0.3">
      <c r="A27" s="263" t="s">
        <v>64</v>
      </c>
      <c r="B27" s="264"/>
      <c r="C27" s="265" t="s">
        <v>117</v>
      </c>
      <c r="F27" s="260" t="s">
        <v>113</v>
      </c>
      <c r="G27" s="83">
        <v>2</v>
      </c>
      <c r="H27" s="244">
        <f>2/22*100</f>
        <v>9.0909090909090917</v>
      </c>
      <c r="K27" s="490" t="s">
        <v>113</v>
      </c>
      <c r="L27" s="489">
        <v>6</v>
      </c>
      <c r="M27" s="244">
        <f>L27/22*100</f>
        <v>27.27272727272727</v>
      </c>
      <c r="O27" s="260" t="s">
        <v>113</v>
      </c>
      <c r="P27" s="303">
        <v>7</v>
      </c>
      <c r="Q27" s="512">
        <f>7/22*100</f>
        <v>31.818181818181817</v>
      </c>
    </row>
    <row r="28" spans="1:26" ht="41.4" x14ac:dyDescent="0.3">
      <c r="A28" s="267" t="s">
        <v>65</v>
      </c>
      <c r="B28" s="264"/>
      <c r="C28" s="267" t="s">
        <v>118</v>
      </c>
      <c r="F28" s="260" t="s">
        <v>114</v>
      </c>
      <c r="G28" s="83">
        <v>19</v>
      </c>
      <c r="H28" s="235">
        <f>19/22*100</f>
        <v>86.36363636363636</v>
      </c>
      <c r="K28" s="490" t="s">
        <v>114</v>
      </c>
      <c r="L28" s="489">
        <v>14</v>
      </c>
      <c r="M28" s="235">
        <f>14/22*100</f>
        <v>63.636363636363633</v>
      </c>
      <c r="O28" s="260" t="s">
        <v>114</v>
      </c>
      <c r="P28" s="260">
        <v>12</v>
      </c>
      <c r="Q28" s="677">
        <f>12/22*100</f>
        <v>54.54545454545454</v>
      </c>
    </row>
    <row r="29" spans="1:26" ht="45" customHeight="1" x14ac:dyDescent="0.3">
      <c r="A29" s="269" t="s">
        <v>66</v>
      </c>
      <c r="B29" s="264"/>
      <c r="C29" s="270" t="s">
        <v>119</v>
      </c>
      <c r="F29" s="570" t="s">
        <v>763</v>
      </c>
      <c r="G29" s="572">
        <v>1</v>
      </c>
      <c r="H29" s="573">
        <f>1/22*100</f>
        <v>4.5454545454545459</v>
      </c>
      <c r="K29" s="570" t="s">
        <v>763</v>
      </c>
      <c r="L29" s="572">
        <v>2</v>
      </c>
      <c r="M29" s="573">
        <f>2/22*100</f>
        <v>9.0909090909090917</v>
      </c>
      <c r="O29" s="260" t="s">
        <v>691</v>
      </c>
      <c r="P29" s="83">
        <v>3</v>
      </c>
      <c r="Q29" s="246">
        <f>3/22*100</f>
        <v>13.636363636363635</v>
      </c>
    </row>
    <row r="30" spans="1:26" x14ac:dyDescent="0.3">
      <c r="F30" s="571"/>
      <c r="G30" s="572"/>
      <c r="H30" s="573"/>
      <c r="K30" s="571"/>
      <c r="L30" s="572"/>
      <c r="M30" s="573"/>
    </row>
  </sheetData>
  <mergeCells count="18">
    <mergeCell ref="F29:F30"/>
    <mergeCell ref="G29:G30"/>
    <mergeCell ref="H29:H30"/>
    <mergeCell ref="T1:V1"/>
    <mergeCell ref="W1:Y1"/>
    <mergeCell ref="K26:M26"/>
    <mergeCell ref="K29:K30"/>
    <mergeCell ref="L29:L30"/>
    <mergeCell ref="M29:M30"/>
    <mergeCell ref="Z1:Z2"/>
    <mergeCell ref="O26:Q26"/>
    <mergeCell ref="A1:A2"/>
    <mergeCell ref="B1:C1"/>
    <mergeCell ref="D1:H1"/>
    <mergeCell ref="I1:L1"/>
    <mergeCell ref="N1:P1"/>
    <mergeCell ref="Q1:S1"/>
    <mergeCell ref="F26:H26"/>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45"/>
  <sheetViews>
    <sheetView topLeftCell="F36" zoomScale="95" zoomScaleNormal="95" workbookViewId="0">
      <selection activeCell="Q43" sqref="Q43"/>
    </sheetView>
  </sheetViews>
  <sheetFormatPr baseColWidth="10" defaultColWidth="11.44140625" defaultRowHeight="14.4" x14ac:dyDescent="0.3"/>
  <cols>
    <col min="1" max="1" width="17.88671875" style="81" customWidth="1"/>
    <col min="2" max="2" width="33.5546875" style="81" customWidth="1"/>
    <col min="3" max="3" width="15.5546875" style="81" customWidth="1"/>
    <col min="4" max="4" width="14.6640625" style="81" customWidth="1"/>
    <col min="5" max="6" width="11.44140625" style="81"/>
    <col min="7" max="7" width="13.109375" style="81" bestFit="1" customWidth="1"/>
    <col min="8" max="16" width="11.44140625" style="81"/>
    <col min="17" max="17" width="13.5546875" style="81" bestFit="1" customWidth="1"/>
    <col min="18" max="26" width="11.44140625" style="81"/>
    <col min="27" max="27" width="19.5546875" style="81" customWidth="1"/>
    <col min="28" max="28" width="33" style="282" customWidth="1"/>
    <col min="29" max="29" width="41.109375" style="678" customWidth="1"/>
    <col min="30" max="16384" width="11.44140625" style="81"/>
  </cols>
  <sheetData>
    <row r="1" spans="1:29" x14ac:dyDescent="0.3">
      <c r="A1" s="575" t="s">
        <v>1</v>
      </c>
      <c r="B1" s="575" t="s">
        <v>2</v>
      </c>
      <c r="C1" s="567" t="s">
        <v>3</v>
      </c>
      <c r="D1" s="567"/>
      <c r="E1" s="568" t="s">
        <v>5</v>
      </c>
      <c r="F1" s="568"/>
      <c r="G1" s="568"/>
      <c r="H1" s="568"/>
      <c r="I1" s="568"/>
      <c r="J1" s="564" t="s">
        <v>6</v>
      </c>
      <c r="K1" s="564"/>
      <c r="L1" s="564"/>
      <c r="M1" s="564"/>
      <c r="N1" s="139"/>
      <c r="O1" s="567" t="s">
        <v>56</v>
      </c>
      <c r="P1" s="567"/>
      <c r="Q1" s="567"/>
      <c r="R1" s="567" t="s">
        <v>57</v>
      </c>
      <c r="S1" s="567"/>
      <c r="T1" s="567"/>
      <c r="U1" s="567" t="s">
        <v>58</v>
      </c>
      <c r="V1" s="567"/>
      <c r="W1" s="567"/>
      <c r="X1" s="567" t="s">
        <v>59</v>
      </c>
      <c r="Y1" s="567"/>
      <c r="Z1" s="567"/>
      <c r="AA1" s="679" t="s">
        <v>60</v>
      </c>
      <c r="AB1" s="489"/>
      <c r="AC1" s="669"/>
    </row>
    <row r="2" spans="1:29" ht="27.6" x14ac:dyDescent="0.3">
      <c r="A2" s="575"/>
      <c r="B2" s="575"/>
      <c r="C2" s="228" t="s">
        <v>7</v>
      </c>
      <c r="D2" s="228" t="s">
        <v>8</v>
      </c>
      <c r="E2" s="229" t="s">
        <v>13</v>
      </c>
      <c r="F2" s="229" t="s">
        <v>15</v>
      </c>
      <c r="G2" s="229" t="s">
        <v>17</v>
      </c>
      <c r="H2" s="229" t="s">
        <v>18</v>
      </c>
      <c r="I2" s="230" t="s">
        <v>55</v>
      </c>
      <c r="J2" s="231" t="s">
        <v>13</v>
      </c>
      <c r="K2" s="139" t="s">
        <v>15</v>
      </c>
      <c r="L2" s="139" t="s">
        <v>17</v>
      </c>
      <c r="M2" s="139" t="s">
        <v>18</v>
      </c>
      <c r="N2" s="139" t="s">
        <v>61</v>
      </c>
      <c r="O2" s="228" t="s">
        <v>9</v>
      </c>
      <c r="P2" s="228" t="s">
        <v>10</v>
      </c>
      <c r="Q2" s="228" t="s">
        <v>11</v>
      </c>
      <c r="R2" s="228" t="s">
        <v>9</v>
      </c>
      <c r="S2" s="228" t="s">
        <v>10</v>
      </c>
      <c r="T2" s="228" t="s">
        <v>11</v>
      </c>
      <c r="U2" s="228" t="s">
        <v>9</v>
      </c>
      <c r="V2" s="228" t="s">
        <v>10</v>
      </c>
      <c r="W2" s="228" t="s">
        <v>11</v>
      </c>
      <c r="X2" s="228" t="s">
        <v>9</v>
      </c>
      <c r="Y2" s="228" t="s">
        <v>10</v>
      </c>
      <c r="Z2" s="228" t="s">
        <v>11</v>
      </c>
      <c r="AA2" s="679"/>
      <c r="AB2" s="493" t="s">
        <v>122</v>
      </c>
      <c r="AC2" s="669"/>
    </row>
    <row r="3" spans="1:29" ht="68.400000000000006" x14ac:dyDescent="0.3">
      <c r="A3" s="576" t="s">
        <v>171</v>
      </c>
      <c r="B3" s="232" t="s">
        <v>175</v>
      </c>
      <c r="C3" s="232" t="s">
        <v>327</v>
      </c>
      <c r="D3" s="232" t="s">
        <v>326</v>
      </c>
      <c r="E3" s="80">
        <v>500</v>
      </c>
      <c r="F3" s="192">
        <v>1500</v>
      </c>
      <c r="G3" s="192">
        <v>2000</v>
      </c>
      <c r="H3" s="192">
        <v>2000</v>
      </c>
      <c r="I3" s="232">
        <v>6000</v>
      </c>
      <c r="J3" s="83">
        <v>141</v>
      </c>
      <c r="K3" s="83">
        <v>0</v>
      </c>
      <c r="L3" s="83">
        <v>2458</v>
      </c>
      <c r="M3" s="83"/>
      <c r="N3" s="83">
        <f>J3+K3+L3+M3</f>
        <v>2599</v>
      </c>
      <c r="O3" s="83">
        <v>141</v>
      </c>
      <c r="P3" s="83">
        <v>500</v>
      </c>
      <c r="Q3" s="233">
        <f>O3/P3*25</f>
        <v>7.0499999999999989</v>
      </c>
      <c r="R3" s="83">
        <v>0</v>
      </c>
      <c r="S3" s="83">
        <v>1500</v>
      </c>
      <c r="T3" s="234">
        <v>0</v>
      </c>
      <c r="U3" s="83">
        <v>2458</v>
      </c>
      <c r="V3" s="83">
        <v>2000</v>
      </c>
      <c r="W3" s="235">
        <f>(U3/V3)*25</f>
        <v>30.725000000000001</v>
      </c>
      <c r="X3" s="83"/>
      <c r="Y3" s="83"/>
      <c r="Z3" s="83"/>
      <c r="AA3" s="680">
        <f>Z3+T3+Q3+W3</f>
        <v>37.774999999999999</v>
      </c>
      <c r="AB3" s="80" t="s">
        <v>347</v>
      </c>
      <c r="AC3" s="669" t="s">
        <v>716</v>
      </c>
    </row>
    <row r="4" spans="1:29" ht="57.6" x14ac:dyDescent="0.3">
      <c r="A4" s="577"/>
      <c r="B4" s="232" t="s">
        <v>176</v>
      </c>
      <c r="C4" s="232" t="s">
        <v>195</v>
      </c>
      <c r="D4" s="232" t="s">
        <v>328</v>
      </c>
      <c r="E4" s="192">
        <v>10</v>
      </c>
      <c r="F4" s="192">
        <v>50</v>
      </c>
      <c r="G4" s="192">
        <v>65</v>
      </c>
      <c r="H4" s="192">
        <v>47</v>
      </c>
      <c r="I4" s="232">
        <f>E4+G4+H4+F4</f>
        <v>172</v>
      </c>
      <c r="J4" s="83">
        <v>7</v>
      </c>
      <c r="K4" s="83">
        <v>146</v>
      </c>
      <c r="L4" s="83">
        <v>8</v>
      </c>
      <c r="M4" s="83"/>
      <c r="N4" s="83">
        <f t="shared" ref="N4:N7" si="0">J4+K4+L4+M4</f>
        <v>161</v>
      </c>
      <c r="O4" s="83">
        <v>7</v>
      </c>
      <c r="P4" s="83">
        <v>10</v>
      </c>
      <c r="Q4" s="236">
        <f t="shared" ref="Q4:Q31" si="1">O4/P4*25</f>
        <v>17.5</v>
      </c>
      <c r="R4" s="83">
        <v>146</v>
      </c>
      <c r="S4" s="83">
        <v>50</v>
      </c>
      <c r="T4" s="237">
        <f>(R4/S4)*25</f>
        <v>73</v>
      </c>
      <c r="U4" s="83">
        <v>8</v>
      </c>
      <c r="V4" s="83">
        <v>65</v>
      </c>
      <c r="W4" s="233">
        <f t="shared" ref="W4:W36" si="2">(U4/V4)*25</f>
        <v>3.0769230769230771</v>
      </c>
      <c r="X4" s="83"/>
      <c r="Y4" s="83"/>
      <c r="Z4" s="83"/>
      <c r="AA4" s="681">
        <f t="shared" ref="AA4:AA36" si="3">Z4+T4+Q4+W4</f>
        <v>93.57692307692308</v>
      </c>
      <c r="AB4" s="80" t="s">
        <v>348</v>
      </c>
      <c r="AC4" s="669"/>
    </row>
    <row r="5" spans="1:29" ht="45.6" x14ac:dyDescent="0.3">
      <c r="A5" s="577"/>
      <c r="B5" s="232" t="s">
        <v>717</v>
      </c>
      <c r="C5" s="232" t="s">
        <v>329</v>
      </c>
      <c r="D5" s="232" t="s">
        <v>330</v>
      </c>
      <c r="E5" s="192">
        <v>1</v>
      </c>
      <c r="F5" s="192">
        <v>4</v>
      </c>
      <c r="G5" s="192">
        <v>9</v>
      </c>
      <c r="H5" s="192"/>
      <c r="I5" s="232">
        <f>E5+F5+G5+H5</f>
        <v>14</v>
      </c>
      <c r="J5" s="83">
        <v>1</v>
      </c>
      <c r="K5" s="83">
        <v>4</v>
      </c>
      <c r="L5" s="83">
        <v>9</v>
      </c>
      <c r="M5" s="83"/>
      <c r="N5" s="83">
        <f t="shared" si="0"/>
        <v>14</v>
      </c>
      <c r="O5" s="83">
        <v>1</v>
      </c>
      <c r="P5" s="83">
        <v>4</v>
      </c>
      <c r="Q5" s="233">
        <f t="shared" si="1"/>
        <v>6.25</v>
      </c>
      <c r="R5" s="83">
        <v>4</v>
      </c>
      <c r="S5" s="83">
        <v>4</v>
      </c>
      <c r="T5" s="237">
        <v>25</v>
      </c>
      <c r="U5" s="83">
        <v>9</v>
      </c>
      <c r="V5" s="83">
        <v>2</v>
      </c>
      <c r="W5" s="235">
        <f t="shared" si="2"/>
        <v>112.5</v>
      </c>
      <c r="X5" s="83"/>
      <c r="Y5" s="83"/>
      <c r="Z5" s="83"/>
      <c r="AA5" s="681">
        <f t="shared" si="3"/>
        <v>143.75</v>
      </c>
      <c r="AB5" s="80" t="s">
        <v>349</v>
      </c>
      <c r="AC5" s="669" t="s">
        <v>718</v>
      </c>
    </row>
    <row r="6" spans="1:29" ht="57.6" x14ac:dyDescent="0.3">
      <c r="A6" s="577"/>
      <c r="B6" s="232" t="s">
        <v>764</v>
      </c>
      <c r="C6" s="232" t="s">
        <v>196</v>
      </c>
      <c r="D6" s="232" t="s">
        <v>719</v>
      </c>
      <c r="E6" s="192">
        <v>9</v>
      </c>
      <c r="F6" s="192">
        <v>1</v>
      </c>
      <c r="G6" s="192">
        <v>100</v>
      </c>
      <c r="H6" s="192">
        <v>60</v>
      </c>
      <c r="I6" s="232">
        <f t="shared" ref="I6:I36" si="4">E6+F6+G6+H6</f>
        <v>170</v>
      </c>
      <c r="J6" s="83">
        <v>9</v>
      </c>
      <c r="K6" s="83">
        <v>1</v>
      </c>
      <c r="L6" s="83">
        <v>0</v>
      </c>
      <c r="M6" s="83"/>
      <c r="N6" s="83">
        <f t="shared" si="0"/>
        <v>10</v>
      </c>
      <c r="O6" s="83">
        <v>9</v>
      </c>
      <c r="P6" s="83">
        <v>9</v>
      </c>
      <c r="Q6" s="235">
        <f t="shared" si="1"/>
        <v>25</v>
      </c>
      <c r="R6" s="83">
        <v>1</v>
      </c>
      <c r="S6" s="83">
        <v>1</v>
      </c>
      <c r="T6" s="237">
        <f>(R6/S6)*25</f>
        <v>25</v>
      </c>
      <c r="U6" s="83">
        <v>0</v>
      </c>
      <c r="V6" s="83">
        <v>100</v>
      </c>
      <c r="W6" s="234">
        <f t="shared" si="2"/>
        <v>0</v>
      </c>
      <c r="X6" s="83"/>
      <c r="Y6" s="83"/>
      <c r="Z6" s="83"/>
      <c r="AA6" s="680">
        <f t="shared" si="3"/>
        <v>50</v>
      </c>
      <c r="AB6" s="80" t="s">
        <v>348</v>
      </c>
      <c r="AC6" s="669" t="s">
        <v>721</v>
      </c>
    </row>
    <row r="7" spans="1:29" ht="102.6" x14ac:dyDescent="0.3">
      <c r="A7" s="577"/>
      <c r="B7" s="232" t="s">
        <v>765</v>
      </c>
      <c r="C7" s="232" t="s">
        <v>196</v>
      </c>
      <c r="D7" s="232" t="s">
        <v>332</v>
      </c>
      <c r="E7" s="192">
        <v>5</v>
      </c>
      <c r="F7" s="192">
        <v>30</v>
      </c>
      <c r="G7" s="192">
        <v>20</v>
      </c>
      <c r="H7" s="192">
        <v>0</v>
      </c>
      <c r="I7" s="232">
        <f t="shared" si="4"/>
        <v>55</v>
      </c>
      <c r="J7" s="83">
        <v>3</v>
      </c>
      <c r="K7" s="83">
        <v>34</v>
      </c>
      <c r="L7" s="83">
        <v>48</v>
      </c>
      <c r="M7" s="83"/>
      <c r="N7" s="83">
        <f t="shared" si="0"/>
        <v>85</v>
      </c>
      <c r="O7" s="83">
        <v>3</v>
      </c>
      <c r="P7" s="83">
        <v>5</v>
      </c>
      <c r="Q7" s="233">
        <f t="shared" si="1"/>
        <v>15</v>
      </c>
      <c r="R7" s="83">
        <v>34</v>
      </c>
      <c r="S7" s="83">
        <v>30</v>
      </c>
      <c r="T7" s="235">
        <f>(R7/S7)*25</f>
        <v>28.333333333333332</v>
      </c>
      <c r="U7" s="83">
        <v>48</v>
      </c>
      <c r="V7" s="83">
        <v>20</v>
      </c>
      <c r="W7" s="234">
        <f t="shared" si="2"/>
        <v>60</v>
      </c>
      <c r="X7" s="83"/>
      <c r="Y7" s="83"/>
      <c r="Z7" s="83"/>
      <c r="AA7" s="681">
        <f t="shared" si="3"/>
        <v>103.33333333333333</v>
      </c>
      <c r="AB7" s="80" t="s">
        <v>350</v>
      </c>
      <c r="AC7" s="669" t="s">
        <v>720</v>
      </c>
    </row>
    <row r="8" spans="1:29" ht="79.8" x14ac:dyDescent="0.3">
      <c r="A8" s="577"/>
      <c r="B8" s="232" t="s">
        <v>177</v>
      </c>
      <c r="C8" s="232" t="s">
        <v>196</v>
      </c>
      <c r="D8" s="232" t="s">
        <v>332</v>
      </c>
      <c r="E8" s="192">
        <v>40</v>
      </c>
      <c r="F8" s="192">
        <v>50</v>
      </c>
      <c r="G8" s="192">
        <v>50</v>
      </c>
      <c r="H8" s="192">
        <v>50</v>
      </c>
      <c r="I8" s="232">
        <f t="shared" si="4"/>
        <v>190</v>
      </c>
      <c r="J8" s="83">
        <v>42</v>
      </c>
      <c r="K8" s="83">
        <v>30</v>
      </c>
      <c r="L8" s="83">
        <v>62</v>
      </c>
      <c r="M8" s="83"/>
      <c r="N8" s="83">
        <f>J8+K8+L8+M8</f>
        <v>134</v>
      </c>
      <c r="O8" s="83">
        <v>42</v>
      </c>
      <c r="P8" s="83">
        <v>40</v>
      </c>
      <c r="Q8" s="235">
        <f t="shared" si="1"/>
        <v>26.25</v>
      </c>
      <c r="R8" s="83">
        <v>30</v>
      </c>
      <c r="S8" s="83">
        <v>50</v>
      </c>
      <c r="T8" s="234">
        <f>(R8/S8)*25</f>
        <v>15</v>
      </c>
      <c r="U8" s="83">
        <v>62</v>
      </c>
      <c r="V8" s="83">
        <v>50</v>
      </c>
      <c r="W8" s="273">
        <f t="shared" si="2"/>
        <v>31</v>
      </c>
      <c r="X8" s="83"/>
      <c r="Y8" s="83"/>
      <c r="Z8" s="83"/>
      <c r="AA8" s="682">
        <f t="shared" si="3"/>
        <v>72.25</v>
      </c>
      <c r="AB8" s="80" t="s">
        <v>351</v>
      </c>
      <c r="AC8" s="669" t="s">
        <v>722</v>
      </c>
    </row>
    <row r="9" spans="1:29" ht="91.2" x14ac:dyDescent="0.3">
      <c r="A9" s="577"/>
      <c r="B9" s="232" t="s">
        <v>885</v>
      </c>
      <c r="C9" s="232" t="s">
        <v>196</v>
      </c>
      <c r="D9" s="232" t="s">
        <v>331</v>
      </c>
      <c r="E9" s="192">
        <v>120</v>
      </c>
      <c r="F9" s="192">
        <v>310</v>
      </c>
      <c r="G9" s="192">
        <v>310</v>
      </c>
      <c r="H9" s="192">
        <v>310</v>
      </c>
      <c r="I9" s="232">
        <f t="shared" si="4"/>
        <v>1050</v>
      </c>
      <c r="J9" s="83">
        <v>118</v>
      </c>
      <c r="K9" s="83">
        <v>542</v>
      </c>
      <c r="L9" s="83">
        <v>678</v>
      </c>
      <c r="M9" s="83"/>
      <c r="N9" s="83">
        <f t="shared" ref="N9:N17" si="5">J9+K9+L9+M9</f>
        <v>1338</v>
      </c>
      <c r="O9" s="83">
        <v>118</v>
      </c>
      <c r="P9" s="83">
        <v>120</v>
      </c>
      <c r="Q9" s="235">
        <f t="shared" si="1"/>
        <v>24.583333333333332</v>
      </c>
      <c r="R9" s="83">
        <v>542</v>
      </c>
      <c r="S9" s="83">
        <v>310</v>
      </c>
      <c r="T9" s="235">
        <f>(R9/S9)*25</f>
        <v>43.70967741935484</v>
      </c>
      <c r="U9" s="83">
        <v>634</v>
      </c>
      <c r="V9" s="83">
        <v>310</v>
      </c>
      <c r="W9" s="235">
        <f>(U9/V9)*25</f>
        <v>51.129032258064512</v>
      </c>
      <c r="X9" s="83"/>
      <c r="Y9" s="83"/>
      <c r="Z9" s="83"/>
      <c r="AA9" s="681">
        <f>Z9+T9+Q9+W9</f>
        <v>119.42204301075269</v>
      </c>
      <c r="AB9" s="80" t="s">
        <v>352</v>
      </c>
      <c r="AC9" s="669"/>
    </row>
    <row r="10" spans="1:29" ht="68.400000000000006" x14ac:dyDescent="0.3">
      <c r="A10" s="578"/>
      <c r="B10" s="232" t="s">
        <v>178</v>
      </c>
      <c r="C10" s="232" t="s">
        <v>196</v>
      </c>
      <c r="D10" s="232" t="s">
        <v>331</v>
      </c>
      <c r="E10" s="192">
        <v>120</v>
      </c>
      <c r="F10" s="192">
        <v>310</v>
      </c>
      <c r="G10" s="192">
        <v>310</v>
      </c>
      <c r="H10" s="192">
        <v>310</v>
      </c>
      <c r="I10" s="232">
        <f>E10+F10+G10+H10</f>
        <v>1050</v>
      </c>
      <c r="J10" s="83">
        <v>118</v>
      </c>
      <c r="K10" s="83">
        <v>542</v>
      </c>
      <c r="L10" s="83">
        <v>678</v>
      </c>
      <c r="M10" s="83"/>
      <c r="N10" s="83">
        <f t="shared" si="5"/>
        <v>1338</v>
      </c>
      <c r="O10" s="83">
        <v>118</v>
      </c>
      <c r="P10" s="83">
        <v>120</v>
      </c>
      <c r="Q10" s="235">
        <f t="shared" si="1"/>
        <v>24.583333333333332</v>
      </c>
      <c r="R10" s="83">
        <v>542</v>
      </c>
      <c r="S10" s="83">
        <v>310</v>
      </c>
      <c r="T10" s="237">
        <v>50</v>
      </c>
      <c r="U10" s="83">
        <v>678</v>
      </c>
      <c r="V10" s="83">
        <v>310</v>
      </c>
      <c r="W10" s="235">
        <f>(U10/V10)*25</f>
        <v>54.677419354838705</v>
      </c>
      <c r="X10" s="83"/>
      <c r="Y10" s="83"/>
      <c r="Z10" s="83"/>
      <c r="AA10" s="681">
        <f t="shared" si="3"/>
        <v>129.26075268817203</v>
      </c>
      <c r="AB10" s="80"/>
      <c r="AC10" s="669"/>
    </row>
    <row r="11" spans="1:29" ht="69.75" customHeight="1" x14ac:dyDescent="0.3">
      <c r="A11" s="239"/>
      <c r="B11" s="232" t="s">
        <v>766</v>
      </c>
      <c r="C11" s="232" t="s">
        <v>771</v>
      </c>
      <c r="D11" s="232" t="s">
        <v>772</v>
      </c>
      <c r="E11" s="192">
        <v>0</v>
      </c>
      <c r="F11" s="192">
        <v>0</v>
      </c>
      <c r="G11" s="192">
        <v>2</v>
      </c>
      <c r="H11" s="192">
        <v>2</v>
      </c>
      <c r="I11" s="232">
        <f t="shared" si="4"/>
        <v>4</v>
      </c>
      <c r="J11" s="83">
        <v>0</v>
      </c>
      <c r="K11" s="83">
        <v>0</v>
      </c>
      <c r="L11" s="83">
        <v>0</v>
      </c>
      <c r="M11" s="83"/>
      <c r="N11" s="83">
        <f t="shared" si="5"/>
        <v>0</v>
      </c>
      <c r="O11" s="83">
        <v>0</v>
      </c>
      <c r="P11" s="83">
        <v>0</v>
      </c>
      <c r="Q11" s="238">
        <v>25</v>
      </c>
      <c r="R11" s="83">
        <v>0</v>
      </c>
      <c r="S11" s="83">
        <v>0</v>
      </c>
      <c r="T11" s="237">
        <v>25</v>
      </c>
      <c r="U11" s="83">
        <v>0</v>
      </c>
      <c r="V11" s="83">
        <v>2</v>
      </c>
      <c r="W11" s="234">
        <f t="shared" si="2"/>
        <v>0</v>
      </c>
      <c r="X11" s="83"/>
      <c r="Y11" s="83"/>
      <c r="Z11" s="83"/>
      <c r="AA11" s="680">
        <f t="shared" si="3"/>
        <v>50</v>
      </c>
      <c r="AB11" s="80"/>
      <c r="AC11" s="669"/>
    </row>
    <row r="12" spans="1:29" ht="60" customHeight="1" x14ac:dyDescent="0.3">
      <c r="A12" s="239"/>
      <c r="B12" s="232" t="s">
        <v>767</v>
      </c>
      <c r="C12" s="232" t="s">
        <v>771</v>
      </c>
      <c r="D12" s="232" t="s">
        <v>772</v>
      </c>
      <c r="E12" s="192">
        <v>0</v>
      </c>
      <c r="F12" s="192">
        <v>2</v>
      </c>
      <c r="G12" s="192">
        <v>2</v>
      </c>
      <c r="H12" s="192">
        <v>2</v>
      </c>
      <c r="I12" s="232">
        <f t="shared" si="4"/>
        <v>6</v>
      </c>
      <c r="J12" s="83">
        <v>0</v>
      </c>
      <c r="K12" s="83">
        <v>0</v>
      </c>
      <c r="L12" s="83">
        <v>0</v>
      </c>
      <c r="M12" s="83"/>
      <c r="N12" s="83">
        <f t="shared" si="5"/>
        <v>0</v>
      </c>
      <c r="O12" s="83">
        <v>0</v>
      </c>
      <c r="P12" s="83">
        <v>0</v>
      </c>
      <c r="Q12" s="238">
        <v>25</v>
      </c>
      <c r="R12" s="83">
        <v>0</v>
      </c>
      <c r="S12" s="83">
        <v>2</v>
      </c>
      <c r="T12" s="234">
        <v>0</v>
      </c>
      <c r="U12" s="83">
        <v>0</v>
      </c>
      <c r="V12" s="83">
        <v>2</v>
      </c>
      <c r="W12" s="234">
        <f t="shared" si="2"/>
        <v>0</v>
      </c>
      <c r="X12" s="83"/>
      <c r="Y12" s="83"/>
      <c r="Z12" s="83"/>
      <c r="AA12" s="680">
        <f t="shared" si="3"/>
        <v>25</v>
      </c>
      <c r="AB12" s="80"/>
      <c r="AC12" s="669"/>
    </row>
    <row r="13" spans="1:29" ht="44.25" customHeight="1" x14ac:dyDescent="0.3">
      <c r="A13" s="239"/>
      <c r="B13" s="232" t="s">
        <v>768</v>
      </c>
      <c r="C13" s="232" t="s">
        <v>771</v>
      </c>
      <c r="D13" s="232" t="s">
        <v>772</v>
      </c>
      <c r="E13" s="192">
        <v>0</v>
      </c>
      <c r="F13" s="192">
        <v>0</v>
      </c>
      <c r="G13" s="192">
        <v>2</v>
      </c>
      <c r="H13" s="192">
        <v>2</v>
      </c>
      <c r="I13" s="232">
        <f t="shared" si="4"/>
        <v>4</v>
      </c>
      <c r="J13" s="83">
        <v>0</v>
      </c>
      <c r="K13" s="83">
        <v>0</v>
      </c>
      <c r="L13" s="83">
        <v>2</v>
      </c>
      <c r="M13" s="83"/>
      <c r="N13" s="83">
        <f t="shared" si="5"/>
        <v>2</v>
      </c>
      <c r="O13" s="83">
        <v>0</v>
      </c>
      <c r="P13" s="83">
        <v>0</v>
      </c>
      <c r="Q13" s="238">
        <v>25</v>
      </c>
      <c r="R13" s="83">
        <v>0</v>
      </c>
      <c r="S13" s="83">
        <v>0</v>
      </c>
      <c r="T13" s="237">
        <v>25</v>
      </c>
      <c r="U13" s="83">
        <v>2</v>
      </c>
      <c r="V13" s="83">
        <v>2</v>
      </c>
      <c r="W13" s="237">
        <f t="shared" si="2"/>
        <v>25</v>
      </c>
      <c r="X13" s="83"/>
      <c r="Y13" s="83"/>
      <c r="Z13" s="83"/>
      <c r="AA13" s="682">
        <f t="shared" si="3"/>
        <v>75</v>
      </c>
      <c r="AB13" s="80"/>
      <c r="AC13" s="669"/>
    </row>
    <row r="14" spans="1:29" ht="59.25" customHeight="1" x14ac:dyDescent="0.3">
      <c r="A14" s="239"/>
      <c r="B14" s="232" t="s">
        <v>769</v>
      </c>
      <c r="C14" s="232" t="s">
        <v>773</v>
      </c>
      <c r="D14" s="232" t="s">
        <v>774</v>
      </c>
      <c r="E14" s="192">
        <v>30</v>
      </c>
      <c r="F14" s="192">
        <v>67</v>
      </c>
      <c r="G14" s="192">
        <v>47</v>
      </c>
      <c r="H14" s="192">
        <v>66</v>
      </c>
      <c r="I14" s="232">
        <f>E14+F14+G14+H14</f>
        <v>210</v>
      </c>
      <c r="J14" s="83">
        <v>30</v>
      </c>
      <c r="K14" s="83">
        <v>67</v>
      </c>
      <c r="L14" s="83">
        <v>47</v>
      </c>
      <c r="M14" s="83"/>
      <c r="N14" s="83">
        <f t="shared" si="5"/>
        <v>144</v>
      </c>
      <c r="O14" s="83">
        <v>30</v>
      </c>
      <c r="P14" s="83">
        <v>30</v>
      </c>
      <c r="Q14" s="238">
        <f>(O14/P14)*25</f>
        <v>25</v>
      </c>
      <c r="R14" s="83">
        <v>67</v>
      </c>
      <c r="S14" s="83">
        <v>67</v>
      </c>
      <c r="T14" s="237">
        <v>25</v>
      </c>
      <c r="U14" s="83">
        <v>67</v>
      </c>
      <c r="V14" s="83">
        <v>47</v>
      </c>
      <c r="W14" s="235">
        <f t="shared" si="2"/>
        <v>35.638297872340424</v>
      </c>
      <c r="X14" s="83"/>
      <c r="Y14" s="83"/>
      <c r="Z14" s="83"/>
      <c r="AA14" s="682">
        <f t="shared" si="3"/>
        <v>85.638297872340416</v>
      </c>
      <c r="AB14" s="80"/>
      <c r="AC14" s="669"/>
    </row>
    <row r="15" spans="1:29" ht="55.5" customHeight="1" x14ac:dyDescent="0.3">
      <c r="A15" s="239"/>
      <c r="B15" s="232" t="s">
        <v>770</v>
      </c>
      <c r="C15" s="232" t="s">
        <v>775</v>
      </c>
      <c r="D15" s="232" t="s">
        <v>776</v>
      </c>
      <c r="E15" s="192">
        <v>13</v>
      </c>
      <c r="F15" s="192">
        <v>20</v>
      </c>
      <c r="G15" s="192">
        <v>25</v>
      </c>
      <c r="H15" s="192">
        <v>32</v>
      </c>
      <c r="I15" s="232">
        <f t="shared" si="4"/>
        <v>90</v>
      </c>
      <c r="J15" s="83">
        <v>13</v>
      </c>
      <c r="K15" s="83">
        <v>24</v>
      </c>
      <c r="L15" s="83">
        <v>31</v>
      </c>
      <c r="M15" s="83"/>
      <c r="N15" s="83">
        <f t="shared" si="5"/>
        <v>68</v>
      </c>
      <c r="O15" s="83">
        <v>13</v>
      </c>
      <c r="P15" s="83">
        <v>13</v>
      </c>
      <c r="Q15" s="238">
        <v>25</v>
      </c>
      <c r="R15" s="83">
        <v>24</v>
      </c>
      <c r="S15" s="83">
        <v>20</v>
      </c>
      <c r="T15" s="237">
        <f>(R15/S15)*25</f>
        <v>30</v>
      </c>
      <c r="U15" s="83">
        <v>31</v>
      </c>
      <c r="V15" s="83">
        <v>25</v>
      </c>
      <c r="W15" s="237">
        <f t="shared" si="2"/>
        <v>31</v>
      </c>
      <c r="X15" s="83"/>
      <c r="Y15" s="83"/>
      <c r="Z15" s="83"/>
      <c r="AA15" s="682">
        <f t="shared" si="3"/>
        <v>86</v>
      </c>
      <c r="AB15" s="80"/>
      <c r="AC15" s="669"/>
    </row>
    <row r="16" spans="1:29" ht="92.4" x14ac:dyDescent="0.3">
      <c r="A16" s="576" t="s">
        <v>172</v>
      </c>
      <c r="B16" s="240" t="s">
        <v>179</v>
      </c>
      <c r="C16" s="240" t="s">
        <v>197</v>
      </c>
      <c r="D16" s="240" t="s">
        <v>333</v>
      </c>
      <c r="E16" s="241">
        <v>4</v>
      </c>
      <c r="F16" s="241">
        <v>18</v>
      </c>
      <c r="G16" s="241">
        <v>18</v>
      </c>
      <c r="H16" s="241">
        <v>19</v>
      </c>
      <c r="I16" s="232">
        <f t="shared" si="4"/>
        <v>59</v>
      </c>
      <c r="J16" s="83">
        <v>4</v>
      </c>
      <c r="K16" s="83">
        <v>24</v>
      </c>
      <c r="L16" s="83">
        <v>7</v>
      </c>
      <c r="M16" s="83"/>
      <c r="N16" s="83">
        <f t="shared" si="5"/>
        <v>35</v>
      </c>
      <c r="O16" s="83">
        <v>4</v>
      </c>
      <c r="P16" s="83">
        <v>4</v>
      </c>
      <c r="Q16" s="237">
        <f t="shared" si="1"/>
        <v>25</v>
      </c>
      <c r="R16" s="83">
        <v>24</v>
      </c>
      <c r="S16" s="83">
        <v>18</v>
      </c>
      <c r="T16" s="235">
        <f>(R16/S16)*25</f>
        <v>33.333333333333329</v>
      </c>
      <c r="U16" s="83">
        <v>7</v>
      </c>
      <c r="V16" s="83">
        <v>18</v>
      </c>
      <c r="W16" s="233">
        <f t="shared" si="2"/>
        <v>9.7222222222222232</v>
      </c>
      <c r="X16" s="83"/>
      <c r="Y16" s="83"/>
      <c r="Z16" s="83"/>
      <c r="AA16" s="680">
        <f t="shared" si="3"/>
        <v>68.055555555555557</v>
      </c>
      <c r="AB16" s="339"/>
      <c r="AC16" s="669"/>
    </row>
    <row r="17" spans="1:29" ht="66" x14ac:dyDescent="0.3">
      <c r="A17" s="577"/>
      <c r="B17" s="242" t="s">
        <v>180</v>
      </c>
      <c r="C17" s="242" t="s">
        <v>198</v>
      </c>
      <c r="D17" s="242" t="s">
        <v>334</v>
      </c>
      <c r="E17" s="243">
        <v>0</v>
      </c>
      <c r="F17" s="243">
        <v>18</v>
      </c>
      <c r="G17" s="243">
        <v>20</v>
      </c>
      <c r="H17" s="243">
        <v>21</v>
      </c>
      <c r="I17" s="232">
        <f t="shared" si="4"/>
        <v>59</v>
      </c>
      <c r="J17" s="83">
        <v>0</v>
      </c>
      <c r="K17" s="83">
        <v>2</v>
      </c>
      <c r="L17" s="83">
        <v>39</v>
      </c>
      <c r="M17" s="83"/>
      <c r="N17" s="83">
        <f t="shared" si="5"/>
        <v>41</v>
      </c>
      <c r="O17" s="83">
        <v>0</v>
      </c>
      <c r="P17" s="83">
        <v>0</v>
      </c>
      <c r="Q17" s="237">
        <v>25</v>
      </c>
      <c r="R17" s="83">
        <v>2</v>
      </c>
      <c r="S17" s="83">
        <v>18</v>
      </c>
      <c r="T17" s="244">
        <f>(R17/S17)*25</f>
        <v>2.7777777777777777</v>
      </c>
      <c r="U17" s="83">
        <v>39</v>
      </c>
      <c r="V17" s="83">
        <v>20</v>
      </c>
      <c r="W17" s="235">
        <f t="shared" si="2"/>
        <v>48.75</v>
      </c>
      <c r="X17" s="83"/>
      <c r="Y17" s="83"/>
      <c r="Z17" s="83"/>
      <c r="AA17" s="682">
        <f t="shared" si="3"/>
        <v>76.527777777777771</v>
      </c>
      <c r="AB17" s="487"/>
      <c r="AC17" s="669"/>
    </row>
    <row r="18" spans="1:29" ht="52.8" x14ac:dyDescent="0.3">
      <c r="A18" s="577"/>
      <c r="B18" s="242" t="s">
        <v>181</v>
      </c>
      <c r="C18" s="242" t="s">
        <v>197</v>
      </c>
      <c r="D18" s="242" t="s">
        <v>335</v>
      </c>
      <c r="E18" s="243">
        <v>0</v>
      </c>
      <c r="F18" s="243">
        <v>20</v>
      </c>
      <c r="G18" s="243">
        <v>39</v>
      </c>
      <c r="H18" s="243">
        <v>0</v>
      </c>
      <c r="I18" s="232">
        <f t="shared" si="4"/>
        <v>59</v>
      </c>
      <c r="J18" s="83">
        <v>0</v>
      </c>
      <c r="K18" s="83">
        <v>0</v>
      </c>
      <c r="L18" s="83">
        <v>30</v>
      </c>
      <c r="M18" s="83"/>
      <c r="N18" s="83">
        <f>J18+K18+L18+M18</f>
        <v>30</v>
      </c>
      <c r="O18" s="83">
        <v>0</v>
      </c>
      <c r="P18" s="83">
        <v>0</v>
      </c>
      <c r="Q18" s="237">
        <v>25</v>
      </c>
      <c r="R18" s="83">
        <v>0</v>
      </c>
      <c r="S18" s="83">
        <v>20</v>
      </c>
      <c r="T18" s="234">
        <v>0</v>
      </c>
      <c r="U18" s="83">
        <v>30</v>
      </c>
      <c r="V18" s="83">
        <v>39</v>
      </c>
      <c r="W18" s="272">
        <f t="shared" si="2"/>
        <v>19.230769230769234</v>
      </c>
      <c r="X18" s="83"/>
      <c r="Y18" s="83"/>
      <c r="Z18" s="83"/>
      <c r="AA18" s="680">
        <f t="shared" si="3"/>
        <v>44.230769230769234</v>
      </c>
      <c r="AB18" s="339"/>
      <c r="AC18" s="669"/>
    </row>
    <row r="19" spans="1:29" ht="72" x14ac:dyDescent="0.3">
      <c r="A19" s="577"/>
      <c r="B19" s="245" t="s">
        <v>182</v>
      </c>
      <c r="C19" s="232" t="s">
        <v>196</v>
      </c>
      <c r="D19" s="242" t="s">
        <v>331</v>
      </c>
      <c r="E19" s="243">
        <v>120</v>
      </c>
      <c r="F19" s="243">
        <v>120</v>
      </c>
      <c r="G19" s="243">
        <v>120</v>
      </c>
      <c r="H19" s="243">
        <v>120</v>
      </c>
      <c r="I19" s="232">
        <f t="shared" si="4"/>
        <v>480</v>
      </c>
      <c r="J19" s="83">
        <v>121</v>
      </c>
      <c r="K19" s="83">
        <v>15</v>
      </c>
      <c r="L19" s="83">
        <v>120</v>
      </c>
      <c r="M19" s="83"/>
      <c r="N19" s="83">
        <f t="shared" ref="N19:N36" si="6">J19+K19+L19+M19</f>
        <v>256</v>
      </c>
      <c r="O19" s="83">
        <v>121</v>
      </c>
      <c r="P19" s="83">
        <v>120</v>
      </c>
      <c r="Q19" s="235">
        <f t="shared" si="1"/>
        <v>25.208333333333332</v>
      </c>
      <c r="R19" s="83">
        <v>15</v>
      </c>
      <c r="S19" s="83">
        <v>120</v>
      </c>
      <c r="T19" s="244">
        <f>(R19/S19)*25</f>
        <v>3.125</v>
      </c>
      <c r="U19" s="83">
        <v>120</v>
      </c>
      <c r="V19" s="83">
        <v>120</v>
      </c>
      <c r="W19" s="237">
        <f t="shared" si="2"/>
        <v>25</v>
      </c>
      <c r="X19" s="83"/>
      <c r="Y19" s="83"/>
      <c r="Z19" s="83"/>
      <c r="AA19" s="680">
        <f t="shared" si="3"/>
        <v>53.333333333333329</v>
      </c>
      <c r="AB19" s="339"/>
      <c r="AC19" s="669"/>
    </row>
    <row r="20" spans="1:29" ht="66" x14ac:dyDescent="0.3">
      <c r="A20" s="577"/>
      <c r="B20" s="242" t="s">
        <v>184</v>
      </c>
      <c r="C20" s="232" t="s">
        <v>196</v>
      </c>
      <c r="D20" s="242" t="s">
        <v>331</v>
      </c>
      <c r="E20" s="243">
        <v>0</v>
      </c>
      <c r="F20" s="243">
        <v>19</v>
      </c>
      <c r="G20" s="243">
        <v>19</v>
      </c>
      <c r="H20" s="243">
        <v>18</v>
      </c>
      <c r="I20" s="232">
        <f t="shared" si="4"/>
        <v>56</v>
      </c>
      <c r="J20" s="83">
        <v>0</v>
      </c>
      <c r="K20" s="83">
        <v>15</v>
      </c>
      <c r="L20" s="83">
        <v>87</v>
      </c>
      <c r="M20" s="83"/>
      <c r="N20" s="83">
        <f t="shared" si="6"/>
        <v>102</v>
      </c>
      <c r="O20" s="83">
        <v>0</v>
      </c>
      <c r="P20" s="83">
        <v>0</v>
      </c>
      <c r="Q20" s="237">
        <v>25</v>
      </c>
      <c r="R20" s="83">
        <v>15</v>
      </c>
      <c r="S20" s="83">
        <v>19</v>
      </c>
      <c r="T20" s="272">
        <f>(R20/S20)*25</f>
        <v>19.736842105263158</v>
      </c>
      <c r="U20" s="83">
        <v>87</v>
      </c>
      <c r="V20" s="83">
        <v>19</v>
      </c>
      <c r="W20" s="235">
        <f t="shared" si="2"/>
        <v>114.4736842105263</v>
      </c>
      <c r="X20" s="83"/>
      <c r="Y20" s="83"/>
      <c r="Z20" s="83"/>
      <c r="AA20" s="681">
        <f t="shared" si="3"/>
        <v>159.21052631578945</v>
      </c>
      <c r="AB20" s="339"/>
      <c r="AC20" s="669"/>
    </row>
    <row r="21" spans="1:29" ht="54.6" customHeight="1" x14ac:dyDescent="0.3">
      <c r="A21" s="577"/>
      <c r="B21" s="242" t="s">
        <v>185</v>
      </c>
      <c r="C21" s="232" t="s">
        <v>196</v>
      </c>
      <c r="D21" s="242" t="s">
        <v>331</v>
      </c>
      <c r="E21" s="243">
        <v>3</v>
      </c>
      <c r="F21" s="243">
        <v>62</v>
      </c>
      <c r="G21" s="243">
        <v>62</v>
      </c>
      <c r="H21" s="243">
        <v>61</v>
      </c>
      <c r="I21" s="232">
        <f t="shared" si="4"/>
        <v>188</v>
      </c>
      <c r="J21" s="83">
        <v>3</v>
      </c>
      <c r="K21" s="83">
        <v>0</v>
      </c>
      <c r="L21" s="83">
        <v>62</v>
      </c>
      <c r="M21" s="83"/>
      <c r="N21" s="83">
        <f t="shared" si="6"/>
        <v>65</v>
      </c>
      <c r="O21" s="83">
        <v>3</v>
      </c>
      <c r="P21" s="83">
        <v>3</v>
      </c>
      <c r="Q21" s="237">
        <f t="shared" si="1"/>
        <v>25</v>
      </c>
      <c r="R21" s="83">
        <v>0</v>
      </c>
      <c r="S21" s="83">
        <v>62</v>
      </c>
      <c r="T21" s="234">
        <v>0</v>
      </c>
      <c r="U21" s="83">
        <v>62</v>
      </c>
      <c r="V21" s="83">
        <v>62</v>
      </c>
      <c r="W21" s="237">
        <f t="shared" si="2"/>
        <v>25</v>
      </c>
      <c r="X21" s="83"/>
      <c r="Y21" s="83"/>
      <c r="Z21" s="83"/>
      <c r="AA21" s="680">
        <f t="shared" si="3"/>
        <v>50</v>
      </c>
      <c r="AB21" s="339"/>
      <c r="AC21" s="669"/>
    </row>
    <row r="22" spans="1:29" ht="132.6" customHeight="1" x14ac:dyDescent="0.3">
      <c r="A22" s="577"/>
      <c r="B22" s="247" t="s">
        <v>186</v>
      </c>
      <c r="C22" s="232" t="s">
        <v>196</v>
      </c>
      <c r="D22" s="242" t="s">
        <v>332</v>
      </c>
      <c r="E22" s="243">
        <v>30</v>
      </c>
      <c r="F22" s="243">
        <v>134</v>
      </c>
      <c r="G22" s="243">
        <v>134</v>
      </c>
      <c r="H22" s="243">
        <v>135</v>
      </c>
      <c r="I22" s="232">
        <f t="shared" si="4"/>
        <v>433</v>
      </c>
      <c r="J22" s="83">
        <v>13</v>
      </c>
      <c r="K22" s="83">
        <v>58</v>
      </c>
      <c r="L22" s="83">
        <v>333</v>
      </c>
      <c r="M22" s="83"/>
      <c r="N22" s="83">
        <f t="shared" si="6"/>
        <v>404</v>
      </c>
      <c r="O22" s="83">
        <v>13</v>
      </c>
      <c r="P22" s="83">
        <v>30</v>
      </c>
      <c r="Q22" s="244">
        <f t="shared" si="1"/>
        <v>10.833333333333334</v>
      </c>
      <c r="R22" s="83">
        <v>58</v>
      </c>
      <c r="S22" s="83">
        <v>134</v>
      </c>
      <c r="T22" s="244">
        <f>(R22/S22)*25</f>
        <v>10.820895522388058</v>
      </c>
      <c r="U22" s="83">
        <v>333</v>
      </c>
      <c r="V22" s="83">
        <v>134</v>
      </c>
      <c r="W22" s="235">
        <f t="shared" si="2"/>
        <v>62.126865671641795</v>
      </c>
      <c r="X22" s="83"/>
      <c r="Y22" s="83"/>
      <c r="Z22" s="83"/>
      <c r="AA22" s="682">
        <f t="shared" si="3"/>
        <v>83.781094527363194</v>
      </c>
      <c r="AB22" s="339"/>
      <c r="AC22" s="669"/>
    </row>
    <row r="23" spans="1:29" ht="39.6" x14ac:dyDescent="0.3">
      <c r="A23" s="578"/>
      <c r="B23" s="247" t="s">
        <v>187</v>
      </c>
      <c r="C23" s="232" t="s">
        <v>196</v>
      </c>
      <c r="D23" s="242" t="s">
        <v>331</v>
      </c>
      <c r="E23" s="248">
        <v>70</v>
      </c>
      <c r="F23" s="248">
        <v>70</v>
      </c>
      <c r="G23" s="248">
        <v>70</v>
      </c>
      <c r="H23" s="243">
        <v>71</v>
      </c>
      <c r="I23" s="232">
        <f t="shared" si="4"/>
        <v>281</v>
      </c>
      <c r="J23" s="83">
        <v>31</v>
      </c>
      <c r="K23" s="83">
        <v>25</v>
      </c>
      <c r="L23" s="83">
        <v>116</v>
      </c>
      <c r="M23" s="83"/>
      <c r="N23" s="83">
        <f t="shared" si="6"/>
        <v>172</v>
      </c>
      <c r="O23" s="83">
        <v>31</v>
      </c>
      <c r="P23" s="83">
        <v>70</v>
      </c>
      <c r="Q23" s="244">
        <f t="shared" si="1"/>
        <v>11.071428571428571</v>
      </c>
      <c r="R23" s="83">
        <v>25</v>
      </c>
      <c r="S23" s="83">
        <v>70</v>
      </c>
      <c r="T23" s="234">
        <v>9.1999999999999993</v>
      </c>
      <c r="U23" s="83">
        <v>116</v>
      </c>
      <c r="V23" s="83">
        <v>70</v>
      </c>
      <c r="W23" s="235">
        <f t="shared" si="2"/>
        <v>41.428571428571431</v>
      </c>
      <c r="X23" s="83"/>
      <c r="Y23" s="83"/>
      <c r="Z23" s="83"/>
      <c r="AA23" s="680">
        <f t="shared" si="3"/>
        <v>61.7</v>
      </c>
      <c r="AB23" s="339"/>
      <c r="AC23" s="669"/>
    </row>
    <row r="24" spans="1:29" ht="81.75" customHeight="1" x14ac:dyDescent="0.3">
      <c r="A24" s="249" t="s">
        <v>172</v>
      </c>
      <c r="B24" s="247" t="s">
        <v>777</v>
      </c>
      <c r="C24" s="232" t="s">
        <v>775</v>
      </c>
      <c r="D24" s="242" t="s">
        <v>776</v>
      </c>
      <c r="E24" s="250">
        <v>0</v>
      </c>
      <c r="F24" s="250">
        <v>0</v>
      </c>
      <c r="G24" s="250">
        <v>10</v>
      </c>
      <c r="H24" s="251">
        <v>5</v>
      </c>
      <c r="I24" s="232">
        <f t="shared" si="4"/>
        <v>15</v>
      </c>
      <c r="J24" s="83">
        <v>1</v>
      </c>
      <c r="K24" s="83">
        <v>3</v>
      </c>
      <c r="L24" s="83">
        <v>4</v>
      </c>
      <c r="M24" s="83"/>
      <c r="N24" s="83">
        <f t="shared" si="6"/>
        <v>8</v>
      </c>
      <c r="O24" s="83">
        <v>1</v>
      </c>
      <c r="P24" s="83">
        <v>0</v>
      </c>
      <c r="Q24" s="238">
        <v>25</v>
      </c>
      <c r="R24" s="83">
        <v>3</v>
      </c>
      <c r="S24" s="83">
        <v>0</v>
      </c>
      <c r="T24" s="237">
        <v>25</v>
      </c>
      <c r="U24" s="83">
        <v>4</v>
      </c>
      <c r="V24" s="83">
        <v>10</v>
      </c>
      <c r="W24" s="234">
        <f t="shared" si="2"/>
        <v>10</v>
      </c>
      <c r="X24" s="83"/>
      <c r="Y24" s="83"/>
      <c r="Z24" s="83"/>
      <c r="AA24" s="680">
        <f t="shared" si="3"/>
        <v>60</v>
      </c>
      <c r="AB24" s="339"/>
      <c r="AC24" s="669"/>
    </row>
    <row r="25" spans="1:29" ht="81.75" customHeight="1" x14ac:dyDescent="0.3">
      <c r="A25" s="667" t="s">
        <v>963</v>
      </c>
      <c r="B25" s="247" t="s">
        <v>781</v>
      </c>
      <c r="C25" s="232" t="s">
        <v>782</v>
      </c>
      <c r="D25" s="242" t="s">
        <v>783</v>
      </c>
      <c r="E25" s="250">
        <v>0</v>
      </c>
      <c r="F25" s="250">
        <v>40</v>
      </c>
      <c r="G25" s="250">
        <v>75</v>
      </c>
      <c r="H25" s="251">
        <v>75</v>
      </c>
      <c r="I25" s="232">
        <f>E25+F25+G25+H25</f>
        <v>190</v>
      </c>
      <c r="J25" s="83">
        <v>0</v>
      </c>
      <c r="K25" s="83">
        <v>0</v>
      </c>
      <c r="L25" s="83">
        <v>295</v>
      </c>
      <c r="M25" s="83"/>
      <c r="N25" s="83">
        <f t="shared" si="6"/>
        <v>295</v>
      </c>
      <c r="O25" s="83">
        <v>0</v>
      </c>
      <c r="P25" s="83">
        <v>0</v>
      </c>
      <c r="Q25" s="238">
        <v>25</v>
      </c>
      <c r="R25" s="83">
        <v>0</v>
      </c>
      <c r="S25" s="83">
        <v>40</v>
      </c>
      <c r="T25" s="234">
        <v>0</v>
      </c>
      <c r="U25" s="83">
        <v>295</v>
      </c>
      <c r="V25" s="83">
        <v>75</v>
      </c>
      <c r="W25" s="235">
        <f t="shared" si="2"/>
        <v>98.333333333333329</v>
      </c>
      <c r="X25" s="83"/>
      <c r="Y25" s="83"/>
      <c r="Z25" s="83"/>
      <c r="AA25" s="681">
        <f t="shared" si="3"/>
        <v>123.33333333333333</v>
      </c>
      <c r="AB25" s="339"/>
      <c r="AC25" s="669"/>
    </row>
    <row r="26" spans="1:29" ht="67.8" customHeight="1" x14ac:dyDescent="0.3">
      <c r="A26" s="249" t="s">
        <v>173</v>
      </c>
      <c r="B26" s="247" t="s">
        <v>183</v>
      </c>
      <c r="C26" s="232" t="s">
        <v>196</v>
      </c>
      <c r="D26" s="242" t="s">
        <v>331</v>
      </c>
      <c r="E26" s="252">
        <v>30</v>
      </c>
      <c r="F26" s="192">
        <v>30</v>
      </c>
      <c r="G26" s="192">
        <v>30</v>
      </c>
      <c r="H26" s="192">
        <v>30</v>
      </c>
      <c r="I26" s="232">
        <f t="shared" si="4"/>
        <v>120</v>
      </c>
      <c r="J26" s="83">
        <v>29</v>
      </c>
      <c r="K26" s="83">
        <v>82</v>
      </c>
      <c r="L26" s="83">
        <v>207</v>
      </c>
      <c r="M26" s="83"/>
      <c r="N26" s="83">
        <f>J26+K26+L26+M26</f>
        <v>318</v>
      </c>
      <c r="O26" s="83">
        <v>29</v>
      </c>
      <c r="P26" s="83">
        <v>30</v>
      </c>
      <c r="Q26" s="238">
        <f>(O26/P26)*25</f>
        <v>24.166666666666668</v>
      </c>
      <c r="R26" s="83">
        <v>82</v>
      </c>
      <c r="S26" s="83">
        <v>30</v>
      </c>
      <c r="T26" s="238">
        <f>(R26/S26)*25</f>
        <v>68.333333333333329</v>
      </c>
      <c r="U26" s="83">
        <v>207</v>
      </c>
      <c r="V26" s="83">
        <v>30</v>
      </c>
      <c r="W26" s="274">
        <f t="shared" si="2"/>
        <v>172.5</v>
      </c>
      <c r="X26" s="83"/>
      <c r="Y26" s="83"/>
      <c r="Z26" s="83"/>
      <c r="AA26" s="681">
        <f t="shared" si="3"/>
        <v>265</v>
      </c>
      <c r="AB26" s="339"/>
      <c r="AC26" s="669"/>
    </row>
    <row r="27" spans="1:29" ht="45.6" x14ac:dyDescent="0.3">
      <c r="A27" s="574" t="s">
        <v>173</v>
      </c>
      <c r="B27" s="253" t="s">
        <v>188</v>
      </c>
      <c r="C27" s="232" t="s">
        <v>196</v>
      </c>
      <c r="D27" s="254" t="s">
        <v>331</v>
      </c>
      <c r="E27" s="192">
        <v>10</v>
      </c>
      <c r="F27" s="192">
        <v>25</v>
      </c>
      <c r="G27" s="192">
        <v>25</v>
      </c>
      <c r="H27" s="192">
        <v>10</v>
      </c>
      <c r="I27" s="232">
        <f t="shared" si="4"/>
        <v>70</v>
      </c>
      <c r="J27" s="83">
        <v>3</v>
      </c>
      <c r="K27" s="83">
        <v>35</v>
      </c>
      <c r="L27" s="83">
        <v>18</v>
      </c>
      <c r="M27" s="83"/>
      <c r="N27" s="83">
        <f t="shared" si="6"/>
        <v>56</v>
      </c>
      <c r="O27" s="83">
        <v>3</v>
      </c>
      <c r="P27" s="83">
        <v>10</v>
      </c>
      <c r="Q27" s="234">
        <f t="shared" si="1"/>
        <v>7.5</v>
      </c>
      <c r="R27" s="83">
        <v>35</v>
      </c>
      <c r="S27" s="83">
        <v>25</v>
      </c>
      <c r="T27" s="237">
        <f>(R27/S27)*25</f>
        <v>35</v>
      </c>
      <c r="U27" s="83">
        <v>18</v>
      </c>
      <c r="V27" s="83">
        <v>25</v>
      </c>
      <c r="W27" s="275">
        <f t="shared" si="2"/>
        <v>18</v>
      </c>
      <c r="X27" s="83"/>
      <c r="Y27" s="83"/>
      <c r="Z27" s="83"/>
      <c r="AA27" s="680">
        <f t="shared" si="3"/>
        <v>60.5</v>
      </c>
      <c r="AB27" s="80"/>
      <c r="AC27" s="669"/>
    </row>
    <row r="28" spans="1:29" ht="43.2" x14ac:dyDescent="0.3">
      <c r="A28" s="574"/>
      <c r="B28" s="255" t="s">
        <v>189</v>
      </c>
      <c r="C28" s="255" t="s">
        <v>199</v>
      </c>
      <c r="D28" s="255" t="s">
        <v>336</v>
      </c>
      <c r="E28" s="192">
        <v>0</v>
      </c>
      <c r="F28" s="192">
        <v>125</v>
      </c>
      <c r="G28" s="192">
        <v>250</v>
      </c>
      <c r="H28" s="192">
        <v>125</v>
      </c>
      <c r="I28" s="232">
        <f t="shared" si="4"/>
        <v>500</v>
      </c>
      <c r="J28" s="83">
        <v>0</v>
      </c>
      <c r="K28" s="83">
        <v>0</v>
      </c>
      <c r="L28" s="83">
        <v>108</v>
      </c>
      <c r="M28" s="83"/>
      <c r="N28" s="83">
        <f t="shared" si="6"/>
        <v>108</v>
      </c>
      <c r="O28" s="83">
        <v>0</v>
      </c>
      <c r="P28" s="83">
        <v>0</v>
      </c>
      <c r="Q28" s="237">
        <v>25</v>
      </c>
      <c r="R28" s="83">
        <v>0</v>
      </c>
      <c r="S28" s="83">
        <v>125</v>
      </c>
      <c r="T28" s="234">
        <v>0</v>
      </c>
      <c r="U28" s="83">
        <v>108</v>
      </c>
      <c r="V28" s="83">
        <v>250</v>
      </c>
      <c r="W28" s="276">
        <f t="shared" si="2"/>
        <v>10.8</v>
      </c>
      <c r="X28" s="83"/>
      <c r="Y28" s="83"/>
      <c r="Z28" s="83"/>
      <c r="AA28" s="680">
        <f t="shared" si="3"/>
        <v>35.799999999999997</v>
      </c>
      <c r="AB28" s="80" t="s">
        <v>353</v>
      </c>
      <c r="AC28" s="254" t="s">
        <v>353</v>
      </c>
    </row>
    <row r="29" spans="1:29" ht="45.6" x14ac:dyDescent="0.3">
      <c r="A29" s="574"/>
      <c r="B29" s="255" t="s">
        <v>190</v>
      </c>
      <c r="C29" s="255" t="s">
        <v>200</v>
      </c>
      <c r="D29" s="255" t="s">
        <v>337</v>
      </c>
      <c r="E29" s="192">
        <v>0</v>
      </c>
      <c r="F29" s="192">
        <v>125</v>
      </c>
      <c r="G29" s="192">
        <v>125</v>
      </c>
      <c r="H29" s="192">
        <v>50</v>
      </c>
      <c r="I29" s="232">
        <f t="shared" si="4"/>
        <v>300</v>
      </c>
      <c r="J29" s="83">
        <v>0</v>
      </c>
      <c r="K29" s="83">
        <v>37</v>
      </c>
      <c r="L29" s="83">
        <v>71</v>
      </c>
      <c r="M29" s="83"/>
      <c r="N29" s="83">
        <f t="shared" si="6"/>
        <v>108</v>
      </c>
      <c r="O29" s="83">
        <v>0</v>
      </c>
      <c r="P29" s="83">
        <v>0</v>
      </c>
      <c r="Q29" s="237">
        <v>25</v>
      </c>
      <c r="R29" s="83">
        <v>37</v>
      </c>
      <c r="S29" s="83">
        <v>125</v>
      </c>
      <c r="T29" s="234">
        <f>(R29/S29)*25</f>
        <v>7.3999999999999995</v>
      </c>
      <c r="U29" s="83">
        <v>71</v>
      </c>
      <c r="V29" s="83">
        <v>125</v>
      </c>
      <c r="W29" s="233">
        <f t="shared" si="2"/>
        <v>14.2</v>
      </c>
      <c r="X29" s="83"/>
      <c r="Y29" s="83"/>
      <c r="Z29" s="83"/>
      <c r="AA29" s="680">
        <f t="shared" si="3"/>
        <v>46.599999999999994</v>
      </c>
      <c r="AB29" s="80" t="s">
        <v>353</v>
      </c>
      <c r="AC29" s="254" t="s">
        <v>353</v>
      </c>
    </row>
    <row r="30" spans="1:29" ht="102.6" x14ac:dyDescent="0.3">
      <c r="A30" s="574"/>
      <c r="B30" s="256" t="s">
        <v>191</v>
      </c>
      <c r="C30" s="256" t="s">
        <v>338</v>
      </c>
      <c r="D30" s="256" t="s">
        <v>339</v>
      </c>
      <c r="E30" s="192">
        <v>0</v>
      </c>
      <c r="F30" s="192">
        <v>25</v>
      </c>
      <c r="G30" s="192">
        <v>25</v>
      </c>
      <c r="H30" s="192">
        <v>9</v>
      </c>
      <c r="I30" s="232">
        <f t="shared" si="4"/>
        <v>59</v>
      </c>
      <c r="J30" s="83">
        <v>0</v>
      </c>
      <c r="K30" s="83">
        <v>13</v>
      </c>
      <c r="L30" s="83">
        <v>13</v>
      </c>
      <c r="M30" s="83"/>
      <c r="N30" s="83">
        <f t="shared" si="6"/>
        <v>26</v>
      </c>
      <c r="O30" s="83">
        <v>0</v>
      </c>
      <c r="P30" s="83">
        <v>0</v>
      </c>
      <c r="Q30" s="237">
        <v>25</v>
      </c>
      <c r="R30" s="83">
        <v>13</v>
      </c>
      <c r="S30" s="83">
        <v>25</v>
      </c>
      <c r="T30" s="234">
        <f>(R30/S30)*25</f>
        <v>13</v>
      </c>
      <c r="U30" s="83">
        <v>13</v>
      </c>
      <c r="V30" s="83">
        <v>25</v>
      </c>
      <c r="W30" s="234">
        <f t="shared" si="2"/>
        <v>13</v>
      </c>
      <c r="X30" s="83"/>
      <c r="Y30" s="83"/>
      <c r="Z30" s="83"/>
      <c r="AA30" s="680">
        <f t="shared" si="3"/>
        <v>51</v>
      </c>
      <c r="AB30" s="80" t="s">
        <v>353</v>
      </c>
      <c r="AC30" s="254" t="s">
        <v>353</v>
      </c>
    </row>
    <row r="31" spans="1:29" ht="86.4" x14ac:dyDescent="0.3">
      <c r="A31" s="574"/>
      <c r="B31" s="257" t="s">
        <v>192</v>
      </c>
      <c r="C31" s="257" t="s">
        <v>201</v>
      </c>
      <c r="D31" s="257" t="s">
        <v>340</v>
      </c>
      <c r="E31" s="192">
        <v>50</v>
      </c>
      <c r="F31" s="192">
        <v>125</v>
      </c>
      <c r="G31" s="192">
        <v>125</v>
      </c>
      <c r="H31" s="192">
        <v>100</v>
      </c>
      <c r="I31" s="232">
        <f t="shared" si="4"/>
        <v>400</v>
      </c>
      <c r="J31" s="83">
        <v>17</v>
      </c>
      <c r="K31" s="83">
        <v>35</v>
      </c>
      <c r="L31" s="83">
        <v>410</v>
      </c>
      <c r="M31" s="83"/>
      <c r="N31" s="83">
        <f t="shared" si="6"/>
        <v>462</v>
      </c>
      <c r="O31" s="83">
        <v>17</v>
      </c>
      <c r="P31" s="83">
        <v>50</v>
      </c>
      <c r="Q31" s="234">
        <f t="shared" si="1"/>
        <v>8.5</v>
      </c>
      <c r="R31" s="83">
        <v>35</v>
      </c>
      <c r="S31" s="83">
        <v>125</v>
      </c>
      <c r="T31" s="234">
        <v>7</v>
      </c>
      <c r="U31" s="83">
        <v>410</v>
      </c>
      <c r="V31" s="83">
        <v>125</v>
      </c>
      <c r="W31" s="237">
        <f t="shared" si="2"/>
        <v>82</v>
      </c>
      <c r="X31" s="83"/>
      <c r="Y31" s="83"/>
      <c r="Z31" s="83"/>
      <c r="AA31" s="681">
        <f t="shared" si="3"/>
        <v>97.5</v>
      </c>
      <c r="AB31" s="80" t="s">
        <v>354</v>
      </c>
      <c r="AC31" s="254" t="s">
        <v>354</v>
      </c>
    </row>
    <row r="32" spans="1:29" ht="34.200000000000003" x14ac:dyDescent="0.3">
      <c r="A32" s="192" t="s">
        <v>174</v>
      </c>
      <c r="B32" s="253" t="s">
        <v>193</v>
      </c>
      <c r="C32" s="253" t="s">
        <v>346</v>
      </c>
      <c r="D32" s="253" t="s">
        <v>341</v>
      </c>
      <c r="E32" s="206">
        <v>0</v>
      </c>
      <c r="F32" s="206">
        <v>0</v>
      </c>
      <c r="G32" s="206">
        <v>1</v>
      </c>
      <c r="H32" s="206">
        <v>0</v>
      </c>
      <c r="I32" s="232">
        <f t="shared" si="4"/>
        <v>1</v>
      </c>
      <c r="J32" s="83">
        <v>0</v>
      </c>
      <c r="K32" s="83">
        <v>0</v>
      </c>
      <c r="L32" s="83">
        <v>1</v>
      </c>
      <c r="M32" s="83"/>
      <c r="N32" s="83">
        <f t="shared" si="6"/>
        <v>1</v>
      </c>
      <c r="O32" s="83">
        <v>0</v>
      </c>
      <c r="P32" s="83">
        <v>0</v>
      </c>
      <c r="Q32" s="237">
        <v>25</v>
      </c>
      <c r="R32" s="83">
        <v>0</v>
      </c>
      <c r="S32" s="83">
        <v>0</v>
      </c>
      <c r="T32" s="237">
        <v>25</v>
      </c>
      <c r="U32" s="83">
        <v>1</v>
      </c>
      <c r="V32" s="83">
        <v>1</v>
      </c>
      <c r="W32" s="237">
        <f t="shared" si="2"/>
        <v>25</v>
      </c>
      <c r="X32" s="83"/>
      <c r="Y32" s="83"/>
      <c r="Z32" s="83"/>
      <c r="AA32" s="682">
        <f t="shared" si="3"/>
        <v>75</v>
      </c>
      <c r="AB32" s="205" t="s">
        <v>355</v>
      </c>
      <c r="AC32" s="254" t="s">
        <v>964</v>
      </c>
    </row>
    <row r="33" spans="1:29" ht="90.6" customHeight="1" x14ac:dyDescent="0.3">
      <c r="A33" s="192"/>
      <c r="B33" s="277" t="s">
        <v>886</v>
      </c>
      <c r="C33" s="258" t="s">
        <v>342</v>
      </c>
      <c r="D33" s="258" t="s">
        <v>340</v>
      </c>
      <c r="E33" s="206">
        <v>50</v>
      </c>
      <c r="F33" s="205">
        <v>200</v>
      </c>
      <c r="G33" s="205">
        <v>400</v>
      </c>
      <c r="H33" s="205">
        <v>350</v>
      </c>
      <c r="I33" s="232">
        <f t="shared" si="4"/>
        <v>1000</v>
      </c>
      <c r="J33" s="83">
        <v>0</v>
      </c>
      <c r="K33" s="83">
        <v>136</v>
      </c>
      <c r="L33" s="83">
        <v>212</v>
      </c>
      <c r="M33" s="83"/>
      <c r="N33" s="83">
        <f t="shared" si="6"/>
        <v>348</v>
      </c>
      <c r="O33" s="83">
        <v>0</v>
      </c>
      <c r="P33" s="83">
        <v>50</v>
      </c>
      <c r="Q33" s="234">
        <v>0</v>
      </c>
      <c r="R33" s="83">
        <v>136</v>
      </c>
      <c r="S33" s="83">
        <v>400</v>
      </c>
      <c r="T33" s="233">
        <f>(R33/S33)*25</f>
        <v>8.5</v>
      </c>
      <c r="U33" s="83">
        <v>364</v>
      </c>
      <c r="V33" s="83">
        <v>550</v>
      </c>
      <c r="W33" s="233">
        <f t="shared" si="2"/>
        <v>16.545454545454547</v>
      </c>
      <c r="X33" s="83"/>
      <c r="Y33" s="83"/>
      <c r="Z33" s="83"/>
      <c r="AA33" s="680">
        <f>Z33+T33+Q33+W33</f>
        <v>25.045454545454547</v>
      </c>
      <c r="AB33" s="205" t="s">
        <v>356</v>
      </c>
      <c r="AC33" s="254" t="s">
        <v>965</v>
      </c>
    </row>
    <row r="34" spans="1:29" ht="75.599999999999994" customHeight="1" x14ac:dyDescent="0.3">
      <c r="A34" s="192"/>
      <c r="B34" s="256" t="s">
        <v>887</v>
      </c>
      <c r="C34" s="256" t="s">
        <v>202</v>
      </c>
      <c r="D34" s="256" t="s">
        <v>343</v>
      </c>
      <c r="E34" s="206">
        <v>50</v>
      </c>
      <c r="F34" s="205">
        <v>200</v>
      </c>
      <c r="G34" s="205">
        <v>400</v>
      </c>
      <c r="H34" s="205">
        <v>350</v>
      </c>
      <c r="I34" s="232">
        <f t="shared" si="4"/>
        <v>1000</v>
      </c>
      <c r="J34" s="83">
        <v>0</v>
      </c>
      <c r="K34" s="83">
        <v>136</v>
      </c>
      <c r="L34" s="83"/>
      <c r="M34" s="83"/>
      <c r="N34" s="83">
        <f t="shared" si="6"/>
        <v>136</v>
      </c>
      <c r="O34" s="83">
        <v>0</v>
      </c>
      <c r="P34" s="83">
        <v>50</v>
      </c>
      <c r="Q34" s="234">
        <v>0</v>
      </c>
      <c r="R34" s="83">
        <v>136</v>
      </c>
      <c r="S34" s="83">
        <v>200</v>
      </c>
      <c r="T34" s="244">
        <f>(R34/S34)*25</f>
        <v>17</v>
      </c>
      <c r="U34" s="83">
        <v>400</v>
      </c>
      <c r="V34" s="83">
        <v>650</v>
      </c>
      <c r="W34" s="233">
        <f t="shared" si="2"/>
        <v>15.384615384615385</v>
      </c>
      <c r="X34" s="83"/>
      <c r="Y34" s="83"/>
      <c r="Z34" s="83"/>
      <c r="AA34" s="680">
        <f t="shared" si="3"/>
        <v>32.384615384615387</v>
      </c>
      <c r="AB34" s="205" t="s">
        <v>357</v>
      </c>
      <c r="AC34" s="254" t="s">
        <v>966</v>
      </c>
    </row>
    <row r="35" spans="1:29" ht="34.200000000000003" x14ac:dyDescent="0.3">
      <c r="A35" s="192"/>
      <c r="B35" s="253" t="s">
        <v>194</v>
      </c>
      <c r="C35" s="253" t="s">
        <v>345</v>
      </c>
      <c r="D35" s="253" t="s">
        <v>344</v>
      </c>
      <c r="E35" s="206">
        <v>0</v>
      </c>
      <c r="F35" s="205">
        <v>0</v>
      </c>
      <c r="G35" s="205">
        <v>1</v>
      </c>
      <c r="H35" s="205">
        <v>0</v>
      </c>
      <c r="I35" s="232">
        <f t="shared" si="4"/>
        <v>1</v>
      </c>
      <c r="J35" s="83">
        <v>0</v>
      </c>
      <c r="K35" s="83">
        <v>0</v>
      </c>
      <c r="L35" s="83">
        <v>1</v>
      </c>
      <c r="M35" s="83"/>
      <c r="N35" s="83">
        <f t="shared" si="6"/>
        <v>1</v>
      </c>
      <c r="O35" s="83">
        <v>0</v>
      </c>
      <c r="P35" s="83">
        <v>0</v>
      </c>
      <c r="Q35" s="237">
        <v>25</v>
      </c>
      <c r="R35" s="83">
        <v>0</v>
      </c>
      <c r="S35" s="83">
        <v>0</v>
      </c>
      <c r="T35" s="237">
        <v>25</v>
      </c>
      <c r="U35" s="83">
        <v>1</v>
      </c>
      <c r="V35" s="83">
        <v>1</v>
      </c>
      <c r="W35" s="273">
        <f t="shared" si="2"/>
        <v>25</v>
      </c>
      <c r="X35" s="83"/>
      <c r="Y35" s="83"/>
      <c r="Z35" s="83"/>
      <c r="AA35" s="681">
        <f t="shared" si="3"/>
        <v>75</v>
      </c>
      <c r="AB35" s="205" t="s">
        <v>355</v>
      </c>
      <c r="AC35" s="254" t="s">
        <v>964</v>
      </c>
    </row>
    <row r="36" spans="1:29" ht="48.75" customHeight="1" x14ac:dyDescent="0.3">
      <c r="A36" s="259"/>
      <c r="B36" s="253" t="s">
        <v>778</v>
      </c>
      <c r="C36" s="253" t="s">
        <v>779</v>
      </c>
      <c r="D36" s="253" t="s">
        <v>780</v>
      </c>
      <c r="E36" s="206">
        <v>1</v>
      </c>
      <c r="F36" s="205">
        <v>2</v>
      </c>
      <c r="G36" s="205">
        <v>3</v>
      </c>
      <c r="H36" s="205">
        <v>3</v>
      </c>
      <c r="I36" s="232">
        <f t="shared" si="4"/>
        <v>9</v>
      </c>
      <c r="J36" s="83">
        <v>1</v>
      </c>
      <c r="K36" s="83">
        <v>3</v>
      </c>
      <c r="L36" s="83">
        <v>3</v>
      </c>
      <c r="M36" s="83"/>
      <c r="N36" s="83">
        <f t="shared" si="6"/>
        <v>7</v>
      </c>
      <c r="O36" s="83">
        <v>1</v>
      </c>
      <c r="P36" s="83">
        <v>1</v>
      </c>
      <c r="Q36" s="237">
        <v>25</v>
      </c>
      <c r="R36" s="83">
        <v>3</v>
      </c>
      <c r="S36" s="83">
        <v>2</v>
      </c>
      <c r="T36" s="237">
        <f>(R36/S36)*25</f>
        <v>37.5</v>
      </c>
      <c r="U36" s="83">
        <v>3</v>
      </c>
      <c r="V36" s="83">
        <v>3</v>
      </c>
      <c r="W36" s="237">
        <f t="shared" si="2"/>
        <v>25</v>
      </c>
      <c r="X36" s="83"/>
      <c r="Y36" s="83"/>
      <c r="Z36" s="83"/>
      <c r="AA36" s="682">
        <f t="shared" si="3"/>
        <v>87.5</v>
      </c>
      <c r="AB36" s="205"/>
      <c r="AC36" s="254" t="s">
        <v>967</v>
      </c>
    </row>
    <row r="37" spans="1:29" s="291" customFormat="1" ht="16.2" customHeight="1" x14ac:dyDescent="0.3">
      <c r="A37" s="285"/>
      <c r="B37" s="286"/>
      <c r="C37" s="286"/>
      <c r="D37" s="286"/>
      <c r="E37" s="285"/>
      <c r="F37" s="287"/>
      <c r="G37" s="287"/>
      <c r="H37" s="287"/>
      <c r="I37" s="288"/>
      <c r="J37" s="289"/>
      <c r="K37" s="289"/>
      <c r="L37" s="289"/>
      <c r="M37" s="289"/>
      <c r="N37" s="289"/>
      <c r="O37" s="289"/>
      <c r="P37" s="289"/>
      <c r="Q37" s="289"/>
      <c r="R37" s="289"/>
      <c r="S37" s="289"/>
      <c r="T37" s="289"/>
      <c r="U37" s="289"/>
      <c r="V37" s="289"/>
      <c r="W37" s="289"/>
      <c r="X37" s="289"/>
      <c r="Y37" s="289"/>
      <c r="Z37" s="289"/>
      <c r="AA37" s="290"/>
      <c r="AB37" s="684"/>
      <c r="AC37" s="669"/>
    </row>
    <row r="38" spans="1:29" ht="39" customHeight="1" x14ac:dyDescent="0.35">
      <c r="A38" s="296" t="s">
        <v>174</v>
      </c>
      <c r="B38" s="297" t="s">
        <v>888</v>
      </c>
      <c r="C38" s="295"/>
      <c r="D38" s="295"/>
      <c r="E38" s="295">
        <v>0</v>
      </c>
      <c r="F38" s="295">
        <v>3</v>
      </c>
      <c r="G38" s="295">
        <v>4</v>
      </c>
      <c r="H38" s="295">
        <v>5</v>
      </c>
      <c r="I38" s="295">
        <v>12</v>
      </c>
      <c r="J38" s="295">
        <v>0</v>
      </c>
      <c r="K38" s="295">
        <v>0</v>
      </c>
      <c r="L38" s="295">
        <v>7</v>
      </c>
      <c r="M38" s="295"/>
      <c r="N38" s="295">
        <v>7</v>
      </c>
      <c r="O38" s="295">
        <v>0</v>
      </c>
      <c r="P38" s="295">
        <v>0</v>
      </c>
      <c r="Q38" s="292">
        <v>0.25</v>
      </c>
      <c r="R38" s="295">
        <v>0</v>
      </c>
      <c r="S38" s="295">
        <v>3</v>
      </c>
      <c r="T38" s="293">
        <f>(R38/S38)*25%</f>
        <v>0</v>
      </c>
      <c r="U38" s="295">
        <v>7</v>
      </c>
      <c r="V38" s="295">
        <v>4</v>
      </c>
      <c r="W38" s="294">
        <f t="shared" ref="W38" si="7">(U38/V38)*25%</f>
        <v>0.4375</v>
      </c>
      <c r="X38" s="295"/>
      <c r="Y38" s="295"/>
      <c r="Z38" s="295"/>
      <c r="AA38" s="683">
        <f>Z38+W38+T38+Q38</f>
        <v>0.6875</v>
      </c>
      <c r="AB38" s="685"/>
      <c r="AC38" s="669"/>
    </row>
    <row r="39" spans="1:29" ht="16.2" customHeight="1" x14ac:dyDescent="0.3">
      <c r="A39" s="259"/>
      <c r="B39" s="278"/>
      <c r="C39" s="278"/>
      <c r="D39" s="278"/>
      <c r="E39" s="279"/>
      <c r="F39" s="280"/>
      <c r="G39" s="280"/>
      <c r="H39" s="280"/>
      <c r="I39" s="281"/>
      <c r="J39" s="282"/>
      <c r="K39" s="282"/>
      <c r="L39" s="282"/>
      <c r="M39" s="282"/>
      <c r="N39" s="282"/>
      <c r="O39" s="282"/>
      <c r="P39" s="282"/>
      <c r="Q39" s="283"/>
      <c r="R39" s="282"/>
      <c r="S39" s="282"/>
      <c r="T39" s="283"/>
      <c r="U39" s="282"/>
      <c r="V39" s="282"/>
      <c r="W39" s="283"/>
      <c r="X39" s="282"/>
      <c r="Y39" s="282"/>
      <c r="Z39" s="282"/>
      <c r="AA39" s="284"/>
      <c r="AB39" s="280"/>
    </row>
    <row r="41" spans="1:29" ht="41.4" x14ac:dyDescent="0.3">
      <c r="A41" s="260" t="s">
        <v>121</v>
      </c>
      <c r="B41" s="261"/>
      <c r="C41" s="262" t="s">
        <v>120</v>
      </c>
      <c r="E41" s="565" t="s">
        <v>712</v>
      </c>
      <c r="F41" s="565"/>
      <c r="G41" s="565"/>
      <c r="J41" s="565" t="s">
        <v>713</v>
      </c>
      <c r="K41" s="565"/>
      <c r="L41" s="565"/>
      <c r="O41" s="565" t="s">
        <v>985</v>
      </c>
      <c r="P41" s="565"/>
      <c r="Q41" s="565"/>
      <c r="S41" s="565" t="s">
        <v>116</v>
      </c>
      <c r="T41" s="565"/>
      <c r="U41" s="565"/>
    </row>
    <row r="42" spans="1:29" ht="41.4" x14ac:dyDescent="0.3">
      <c r="A42" s="263" t="s">
        <v>64</v>
      </c>
      <c r="B42" s="264"/>
      <c r="C42" s="265" t="s">
        <v>117</v>
      </c>
      <c r="E42" s="260" t="s">
        <v>113</v>
      </c>
      <c r="F42" s="260">
        <v>3</v>
      </c>
      <c r="G42" s="266">
        <f>3/26*100</f>
        <v>11.538461538461538</v>
      </c>
      <c r="J42" s="260" t="s">
        <v>113</v>
      </c>
      <c r="K42" s="260">
        <v>16</v>
      </c>
      <c r="L42" s="266">
        <f>16/34*100</f>
        <v>47.058823529411761</v>
      </c>
      <c r="O42" s="490" t="s">
        <v>113</v>
      </c>
      <c r="P42" s="490">
        <v>12</v>
      </c>
      <c r="Q42" s="512">
        <f>12/35*100</f>
        <v>34.285714285714285</v>
      </c>
      <c r="S42" s="260" t="s">
        <v>113</v>
      </c>
      <c r="T42" s="260">
        <v>17</v>
      </c>
      <c r="U42" s="512">
        <f>17/35*100</f>
        <v>48.571428571428569</v>
      </c>
    </row>
    <row r="43" spans="1:29" ht="41.4" x14ac:dyDescent="0.3">
      <c r="A43" s="267" t="s">
        <v>65</v>
      </c>
      <c r="B43" s="264"/>
      <c r="C43" s="267" t="s">
        <v>118</v>
      </c>
      <c r="E43" s="260" t="s">
        <v>114</v>
      </c>
      <c r="F43" s="260">
        <v>21</v>
      </c>
      <c r="G43" s="268">
        <f>21/26*100</f>
        <v>80.769230769230774</v>
      </c>
      <c r="J43" s="260" t="s">
        <v>114</v>
      </c>
      <c r="K43" s="260">
        <v>17</v>
      </c>
      <c r="L43" s="268">
        <f>17/34*100</f>
        <v>50</v>
      </c>
      <c r="O43" s="490" t="s">
        <v>114</v>
      </c>
      <c r="P43" s="490">
        <v>21</v>
      </c>
      <c r="Q43" s="677">
        <f>21/35*100</f>
        <v>60</v>
      </c>
      <c r="S43" s="260" t="s">
        <v>114</v>
      </c>
      <c r="T43" s="260">
        <v>10</v>
      </c>
      <c r="U43" s="268">
        <f>10/35*100</f>
        <v>28.571428571428569</v>
      </c>
    </row>
    <row r="44" spans="1:29" ht="41.4" x14ac:dyDescent="0.3">
      <c r="A44" s="269" t="s">
        <v>66</v>
      </c>
      <c r="B44" s="264"/>
      <c r="C44" s="270" t="s">
        <v>119</v>
      </c>
      <c r="E44" s="260" t="s">
        <v>691</v>
      </c>
      <c r="F44" s="83">
        <v>2</v>
      </c>
      <c r="G44" s="246">
        <f>2/26*100</f>
        <v>7.6923076923076925</v>
      </c>
      <c r="J44" s="260" t="s">
        <v>691</v>
      </c>
      <c r="K44" s="83">
        <v>1</v>
      </c>
      <c r="L44" s="246">
        <f>1/34*100</f>
        <v>2.9411764705882351</v>
      </c>
      <c r="O44" s="490" t="s">
        <v>691</v>
      </c>
      <c r="P44" s="489">
        <v>2</v>
      </c>
      <c r="Q44" s="272">
        <f>2/35*100</f>
        <v>5.7142857142857144</v>
      </c>
      <c r="S44" s="260" t="s">
        <v>691</v>
      </c>
      <c r="T44" s="83">
        <v>8</v>
      </c>
      <c r="U44" s="272">
        <f>8/35*100</f>
        <v>22.857142857142858</v>
      </c>
    </row>
    <row r="45" spans="1:29" ht="57.6" x14ac:dyDescent="0.3">
      <c r="A45" s="147" t="s">
        <v>858</v>
      </c>
    </row>
  </sheetData>
  <mergeCells count="17">
    <mergeCell ref="AA1:AA2"/>
    <mergeCell ref="E41:G41"/>
    <mergeCell ref="C1:D1"/>
    <mergeCell ref="E1:I1"/>
    <mergeCell ref="J1:M1"/>
    <mergeCell ref="O1:Q1"/>
    <mergeCell ref="R1:T1"/>
    <mergeCell ref="U1:W1"/>
    <mergeCell ref="O41:Q41"/>
    <mergeCell ref="A27:A31"/>
    <mergeCell ref="J41:L41"/>
    <mergeCell ref="S41:U41"/>
    <mergeCell ref="X1:Z1"/>
    <mergeCell ref="B1:B2"/>
    <mergeCell ref="A1:A2"/>
    <mergeCell ref="A3:A10"/>
    <mergeCell ref="A16:A2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37"/>
  <sheetViews>
    <sheetView topLeftCell="J1" zoomScale="91" zoomScaleNormal="91" workbookViewId="0">
      <pane ySplit="1" topLeftCell="A32" activePane="bottomLeft" state="frozen"/>
      <selection pane="bottomLeft" activeCell="Q35" sqref="Q35"/>
    </sheetView>
  </sheetViews>
  <sheetFormatPr baseColWidth="10" defaultRowHeight="14.4" x14ac:dyDescent="0.3"/>
  <cols>
    <col min="1" max="1" width="29.5546875" style="56" customWidth="1"/>
    <col min="2" max="2" width="37.88671875" style="57" customWidth="1"/>
    <col min="3" max="3" width="17" customWidth="1"/>
    <col min="4" max="4" width="15.33203125" customWidth="1"/>
    <col min="27" max="27" width="16.109375" style="40" customWidth="1"/>
    <col min="28" max="28" width="28.5546875" style="55" customWidth="1"/>
    <col min="29" max="29" width="27.77734375" customWidth="1"/>
  </cols>
  <sheetData>
    <row r="1" spans="1:30" ht="15" thickBot="1" x14ac:dyDescent="0.35">
      <c r="A1" s="625" t="s">
        <v>367</v>
      </c>
      <c r="B1" s="636" t="s">
        <v>2</v>
      </c>
      <c r="C1" s="638" t="s">
        <v>3</v>
      </c>
      <c r="D1" s="639"/>
      <c r="E1" s="640" t="s">
        <v>5</v>
      </c>
      <c r="F1" s="640"/>
      <c r="G1" s="640"/>
      <c r="H1" s="640"/>
      <c r="I1" s="640"/>
      <c r="J1" s="634" t="s">
        <v>6</v>
      </c>
      <c r="K1" s="634"/>
      <c r="L1" s="634"/>
      <c r="M1" s="634"/>
      <c r="N1" s="5"/>
      <c r="O1" s="632" t="s">
        <v>56</v>
      </c>
      <c r="P1" s="632"/>
      <c r="Q1" s="632"/>
      <c r="R1" s="632" t="s">
        <v>57</v>
      </c>
      <c r="S1" s="632"/>
      <c r="T1" s="632"/>
      <c r="U1" s="632" t="s">
        <v>58</v>
      </c>
      <c r="V1" s="632"/>
      <c r="W1" s="632"/>
      <c r="X1" s="633" t="s">
        <v>59</v>
      </c>
      <c r="Y1" s="633"/>
      <c r="Z1" s="633"/>
      <c r="AA1" s="634" t="s">
        <v>60</v>
      </c>
    </row>
    <row r="2" spans="1:30" ht="45" customHeight="1" x14ac:dyDescent="0.3">
      <c r="A2" s="626"/>
      <c r="B2" s="637"/>
      <c r="C2" s="20" t="s">
        <v>7</v>
      </c>
      <c r="D2" s="20" t="s">
        <v>8</v>
      </c>
      <c r="E2" s="27" t="s">
        <v>13</v>
      </c>
      <c r="F2" s="27" t="s">
        <v>15</v>
      </c>
      <c r="G2" s="27" t="s">
        <v>17</v>
      </c>
      <c r="H2" s="27" t="s">
        <v>18</v>
      </c>
      <c r="I2" s="28" t="s">
        <v>55</v>
      </c>
      <c r="J2" s="29" t="s">
        <v>13</v>
      </c>
      <c r="K2" s="6" t="s">
        <v>15</v>
      </c>
      <c r="L2" s="6" t="s">
        <v>17</v>
      </c>
      <c r="M2" s="6" t="s">
        <v>18</v>
      </c>
      <c r="N2" s="6" t="s">
        <v>61</v>
      </c>
      <c r="O2" s="30" t="s">
        <v>9</v>
      </c>
      <c r="P2" s="30" t="s">
        <v>10</v>
      </c>
      <c r="Q2" s="30" t="s">
        <v>11</v>
      </c>
      <c r="R2" s="30" t="s">
        <v>9</v>
      </c>
      <c r="S2" s="30" t="s">
        <v>10</v>
      </c>
      <c r="T2" s="30" t="s">
        <v>11</v>
      </c>
      <c r="U2" s="30" t="s">
        <v>9</v>
      </c>
      <c r="V2" s="30" t="s">
        <v>10</v>
      </c>
      <c r="W2" s="30" t="s">
        <v>11</v>
      </c>
      <c r="X2" s="25" t="s">
        <v>9</v>
      </c>
      <c r="Y2" s="1" t="s">
        <v>10</v>
      </c>
      <c r="Z2" s="2" t="s">
        <v>11</v>
      </c>
      <c r="AA2" s="635"/>
      <c r="AB2" s="19" t="s">
        <v>122</v>
      </c>
      <c r="AC2" s="514" t="s">
        <v>905</v>
      </c>
    </row>
    <row r="3" spans="1:30" ht="72" x14ac:dyDescent="0.3">
      <c r="A3" s="54" t="s">
        <v>368</v>
      </c>
      <c r="B3" s="26" t="s">
        <v>203</v>
      </c>
      <c r="C3" s="49" t="s">
        <v>213</v>
      </c>
      <c r="D3" s="49" t="s">
        <v>214</v>
      </c>
      <c r="E3" s="54">
        <v>0</v>
      </c>
      <c r="F3" s="54">
        <v>299</v>
      </c>
      <c r="G3" s="54">
        <v>299</v>
      </c>
      <c r="H3" s="54">
        <v>298</v>
      </c>
      <c r="I3" s="49">
        <f>E3+F3+G3+H3</f>
        <v>896</v>
      </c>
      <c r="J3" s="60">
        <v>0</v>
      </c>
      <c r="K3" s="60">
        <v>125</v>
      </c>
      <c r="L3" s="60">
        <v>340</v>
      </c>
      <c r="M3" s="60"/>
      <c r="N3" s="60">
        <f>K3+L3</f>
        <v>465</v>
      </c>
      <c r="O3" s="60">
        <v>0</v>
      </c>
      <c r="P3" s="49">
        <v>0</v>
      </c>
      <c r="Q3" s="61">
        <v>25</v>
      </c>
      <c r="R3" s="60">
        <v>125</v>
      </c>
      <c r="S3" s="60">
        <v>299</v>
      </c>
      <c r="T3" s="116">
        <f>(R3/S3)*25</f>
        <v>10.451505016722408</v>
      </c>
      <c r="U3" s="132">
        <v>340</v>
      </c>
      <c r="V3" s="115">
        <v>299</v>
      </c>
      <c r="W3" s="134">
        <f>(U3/V3)*25</f>
        <v>28.428093645484946</v>
      </c>
      <c r="X3" s="115"/>
      <c r="Y3" s="115"/>
      <c r="Z3" s="115"/>
      <c r="AA3" s="518">
        <f>W3+T3+Q3</f>
        <v>63.879598662207357</v>
      </c>
      <c r="AB3" s="686" t="s">
        <v>358</v>
      </c>
      <c r="AC3" s="697"/>
      <c r="AD3" s="694"/>
    </row>
    <row r="4" spans="1:30" ht="45" customHeight="1" x14ac:dyDescent="0.3">
      <c r="A4" s="631" t="s">
        <v>369</v>
      </c>
      <c r="B4" s="613" t="s">
        <v>204</v>
      </c>
      <c r="C4" s="615" t="s">
        <v>215</v>
      </c>
      <c r="D4" s="615" t="s">
        <v>216</v>
      </c>
      <c r="E4" s="629">
        <v>75</v>
      </c>
      <c r="F4" s="619">
        <v>224</v>
      </c>
      <c r="G4" s="619">
        <v>68</v>
      </c>
      <c r="H4" s="619"/>
      <c r="I4" s="619">
        <f>E4+F4+G4+H4</f>
        <v>367</v>
      </c>
      <c r="J4" s="588">
        <v>75</v>
      </c>
      <c r="K4" s="588">
        <v>224</v>
      </c>
      <c r="L4" s="588">
        <v>68</v>
      </c>
      <c r="M4" s="588"/>
      <c r="N4" s="588">
        <f>J4+K4+L4</f>
        <v>367</v>
      </c>
      <c r="O4" s="588">
        <v>75</v>
      </c>
      <c r="P4" s="607">
        <v>75</v>
      </c>
      <c r="Q4" s="580">
        <f t="shared" ref="Q4" si="0">O4/P4*25</f>
        <v>25</v>
      </c>
      <c r="R4" s="584">
        <v>224</v>
      </c>
      <c r="S4" s="584">
        <v>224</v>
      </c>
      <c r="T4" s="609">
        <v>25</v>
      </c>
      <c r="U4" s="584">
        <v>68</v>
      </c>
      <c r="V4" s="584">
        <v>68</v>
      </c>
      <c r="W4" s="580">
        <f>(U4/V4)*25</f>
        <v>25</v>
      </c>
      <c r="X4" s="584"/>
      <c r="Y4" s="584"/>
      <c r="Z4" s="584"/>
      <c r="AA4" s="593">
        <f>Z4+W4+T4+Q4</f>
        <v>75</v>
      </c>
      <c r="AB4" s="687" t="s">
        <v>359</v>
      </c>
      <c r="AC4" s="545" t="s">
        <v>906</v>
      </c>
      <c r="AD4" s="694"/>
    </row>
    <row r="5" spans="1:30" x14ac:dyDescent="0.3">
      <c r="A5" s="631"/>
      <c r="B5" s="614"/>
      <c r="C5" s="616"/>
      <c r="D5" s="616"/>
      <c r="E5" s="630"/>
      <c r="F5" s="620"/>
      <c r="G5" s="620"/>
      <c r="H5" s="620"/>
      <c r="I5" s="592"/>
      <c r="J5" s="589"/>
      <c r="K5" s="589"/>
      <c r="L5" s="589"/>
      <c r="M5" s="589"/>
      <c r="N5" s="589"/>
      <c r="O5" s="589"/>
      <c r="P5" s="608"/>
      <c r="Q5" s="581"/>
      <c r="R5" s="585"/>
      <c r="S5" s="585"/>
      <c r="T5" s="610"/>
      <c r="U5" s="585"/>
      <c r="V5" s="585"/>
      <c r="W5" s="581"/>
      <c r="X5" s="585"/>
      <c r="Y5" s="585"/>
      <c r="Z5" s="585"/>
      <c r="AA5" s="594"/>
      <c r="AB5" s="688"/>
      <c r="AC5" s="569"/>
      <c r="AD5" s="694"/>
    </row>
    <row r="6" spans="1:30" ht="75" customHeight="1" x14ac:dyDescent="0.3">
      <c r="A6" s="615" t="s">
        <v>370</v>
      </c>
      <c r="B6" s="628" t="s">
        <v>910</v>
      </c>
      <c r="C6" s="615" t="s">
        <v>217</v>
      </c>
      <c r="D6" s="615" t="s">
        <v>218</v>
      </c>
      <c r="E6" s="617">
        <v>0</v>
      </c>
      <c r="F6" s="591">
        <v>23</v>
      </c>
      <c r="G6" s="591">
        <v>23</v>
      </c>
      <c r="H6" s="591">
        <v>24</v>
      </c>
      <c r="I6" s="591">
        <v>70</v>
      </c>
      <c r="J6" s="588">
        <v>0</v>
      </c>
      <c r="K6" s="588">
        <v>0</v>
      </c>
      <c r="L6" s="588">
        <v>18</v>
      </c>
      <c r="M6" s="588"/>
      <c r="N6" s="588">
        <v>18</v>
      </c>
      <c r="O6" s="588">
        <v>0</v>
      </c>
      <c r="P6" s="591">
        <v>0</v>
      </c>
      <c r="Q6" s="580">
        <f>O4/P4*25</f>
        <v>25</v>
      </c>
      <c r="R6" s="584">
        <v>0</v>
      </c>
      <c r="S6" s="584">
        <v>23</v>
      </c>
      <c r="T6" s="611">
        <f t="shared" ref="T6" si="1">R6*24/399</f>
        <v>0</v>
      </c>
      <c r="U6" s="584">
        <v>18</v>
      </c>
      <c r="V6" s="584">
        <v>23</v>
      </c>
      <c r="W6" s="605">
        <f>(U6/V6)*25</f>
        <v>19.565217391304348</v>
      </c>
      <c r="X6" s="584"/>
      <c r="Y6" s="584"/>
      <c r="Z6" s="584"/>
      <c r="AA6" s="595">
        <f>Q6+T6+W6</f>
        <v>44.565217391304344</v>
      </c>
      <c r="AB6" s="687" t="s">
        <v>360</v>
      </c>
      <c r="AC6" s="545" t="s">
        <v>911</v>
      </c>
      <c r="AD6" s="694"/>
    </row>
    <row r="7" spans="1:30" ht="25.2" customHeight="1" x14ac:dyDescent="0.3">
      <c r="A7" s="627"/>
      <c r="B7" s="614"/>
      <c r="C7" s="616"/>
      <c r="D7" s="616"/>
      <c r="E7" s="618"/>
      <c r="F7" s="592"/>
      <c r="G7" s="592"/>
      <c r="H7" s="592"/>
      <c r="I7" s="592"/>
      <c r="J7" s="589"/>
      <c r="K7" s="589"/>
      <c r="L7" s="589"/>
      <c r="M7" s="589"/>
      <c r="N7" s="589"/>
      <c r="O7" s="589"/>
      <c r="P7" s="592"/>
      <c r="Q7" s="581"/>
      <c r="R7" s="585"/>
      <c r="S7" s="585"/>
      <c r="T7" s="612"/>
      <c r="U7" s="585"/>
      <c r="V7" s="585"/>
      <c r="W7" s="606"/>
      <c r="X7" s="585"/>
      <c r="Y7" s="585"/>
      <c r="Z7" s="585"/>
      <c r="AA7" s="596"/>
      <c r="AB7" s="688"/>
      <c r="AC7" s="569"/>
      <c r="AD7" s="694"/>
    </row>
    <row r="8" spans="1:30" ht="78" customHeight="1" x14ac:dyDescent="0.3">
      <c r="A8" s="54" t="s">
        <v>371</v>
      </c>
      <c r="B8" s="99" t="s">
        <v>784</v>
      </c>
      <c r="C8" s="49" t="s">
        <v>219</v>
      </c>
      <c r="D8" s="62" t="s">
        <v>220</v>
      </c>
      <c r="E8" s="54">
        <v>0</v>
      </c>
      <c r="F8" s="63">
        <v>83</v>
      </c>
      <c r="G8" s="63">
        <v>83</v>
      </c>
      <c r="H8" s="63">
        <v>84</v>
      </c>
      <c r="I8" s="64">
        <f>E8+F8+G8+H8</f>
        <v>250</v>
      </c>
      <c r="J8" s="65">
        <v>0</v>
      </c>
      <c r="K8" s="65">
        <v>80</v>
      </c>
      <c r="L8" s="65">
        <v>220</v>
      </c>
      <c r="M8" s="65"/>
      <c r="N8" s="65">
        <f>K8+L8</f>
        <v>300</v>
      </c>
      <c r="O8" s="65">
        <v>0</v>
      </c>
      <c r="P8" s="63">
        <v>0</v>
      </c>
      <c r="Q8" s="66">
        <v>25</v>
      </c>
      <c r="R8" s="60">
        <v>80</v>
      </c>
      <c r="S8" s="60">
        <v>83</v>
      </c>
      <c r="T8" s="117">
        <f>(R8/S8)*25</f>
        <v>24.096385542168676</v>
      </c>
      <c r="U8" s="60">
        <v>220</v>
      </c>
      <c r="V8" s="60">
        <v>83</v>
      </c>
      <c r="W8" s="117">
        <f>(U8/V8)*25</f>
        <v>66.265060240963862</v>
      </c>
      <c r="X8" s="60"/>
      <c r="Y8" s="60"/>
      <c r="Z8" s="60"/>
      <c r="AA8" s="111">
        <f>Q8+T8+W8+Z8</f>
        <v>115.36144578313254</v>
      </c>
      <c r="AB8" s="689" t="s">
        <v>361</v>
      </c>
      <c r="AC8" s="491" t="s">
        <v>908</v>
      </c>
      <c r="AD8" s="694"/>
    </row>
    <row r="9" spans="1:30" ht="102.75" customHeight="1" x14ac:dyDescent="0.3">
      <c r="A9" s="49" t="s">
        <v>369</v>
      </c>
      <c r="B9" s="26" t="s">
        <v>205</v>
      </c>
      <c r="C9" s="49" t="s">
        <v>219</v>
      </c>
      <c r="D9" s="62" t="s">
        <v>220</v>
      </c>
      <c r="E9" s="54">
        <v>0</v>
      </c>
      <c r="F9" s="63">
        <v>67</v>
      </c>
      <c r="G9" s="63">
        <v>67</v>
      </c>
      <c r="H9" s="63">
        <v>66</v>
      </c>
      <c r="I9" s="63">
        <v>200</v>
      </c>
      <c r="J9" s="65">
        <v>0</v>
      </c>
      <c r="K9" s="65">
        <v>68</v>
      </c>
      <c r="L9" s="65">
        <v>77</v>
      </c>
      <c r="M9" s="65"/>
      <c r="N9" s="65">
        <v>68</v>
      </c>
      <c r="O9" s="65">
        <v>0</v>
      </c>
      <c r="P9" s="63">
        <v>0</v>
      </c>
      <c r="Q9" s="66">
        <v>25</v>
      </c>
      <c r="R9" s="60">
        <v>68</v>
      </c>
      <c r="S9" s="60">
        <v>67</v>
      </c>
      <c r="T9" s="111">
        <f>(R9/S9)*25</f>
        <v>25.373134328358208</v>
      </c>
      <c r="U9" s="60">
        <v>77</v>
      </c>
      <c r="V9" s="60">
        <v>67</v>
      </c>
      <c r="W9" s="117">
        <f>(U9/V9)*25</f>
        <v>28.731343283582088</v>
      </c>
      <c r="X9" s="60"/>
      <c r="Y9" s="60"/>
      <c r="Z9" s="60"/>
      <c r="AA9" s="129">
        <f>Q9+T9+W9+Z9</f>
        <v>79.104477611940297</v>
      </c>
      <c r="AB9" s="686" t="s">
        <v>362</v>
      </c>
      <c r="AC9" s="697"/>
      <c r="AD9" s="694"/>
    </row>
    <row r="10" spans="1:30" ht="45" customHeight="1" x14ac:dyDescent="0.3">
      <c r="A10" s="615" t="s">
        <v>369</v>
      </c>
      <c r="B10" s="613" t="s">
        <v>206</v>
      </c>
      <c r="C10" s="617" t="s">
        <v>221</v>
      </c>
      <c r="D10" s="615" t="s">
        <v>222</v>
      </c>
      <c r="E10" s="617">
        <v>0</v>
      </c>
      <c r="F10" s="591">
        <v>9</v>
      </c>
      <c r="G10" s="591">
        <v>9</v>
      </c>
      <c r="H10" s="591">
        <v>8</v>
      </c>
      <c r="I10" s="591">
        <v>26</v>
      </c>
      <c r="J10" s="588">
        <v>0</v>
      </c>
      <c r="K10" s="588">
        <v>7</v>
      </c>
      <c r="L10" s="588">
        <v>6</v>
      </c>
      <c r="M10" s="588"/>
      <c r="N10" s="588">
        <v>7</v>
      </c>
      <c r="O10" s="588">
        <v>0</v>
      </c>
      <c r="P10" s="591">
        <v>0</v>
      </c>
      <c r="Q10" s="580">
        <v>25</v>
      </c>
      <c r="R10" s="584">
        <v>7</v>
      </c>
      <c r="S10" s="584">
        <v>9</v>
      </c>
      <c r="T10" s="603">
        <f>(R10/S10)*25</f>
        <v>19.444444444444446</v>
      </c>
      <c r="U10" s="584">
        <v>6</v>
      </c>
      <c r="V10" s="584">
        <v>9</v>
      </c>
      <c r="W10" s="605">
        <f>(U10/V10)*25</f>
        <v>16.666666666666664</v>
      </c>
      <c r="X10" s="584"/>
      <c r="Y10" s="584"/>
      <c r="Z10" s="584"/>
      <c r="AA10" s="595">
        <f>Z10+W10+T10+Q10</f>
        <v>61.111111111111114</v>
      </c>
      <c r="AB10" s="687" t="s">
        <v>363</v>
      </c>
      <c r="AC10" s="545" t="s">
        <v>907</v>
      </c>
      <c r="AD10" s="694"/>
    </row>
    <row r="11" spans="1:30" x14ac:dyDescent="0.3">
      <c r="A11" s="616"/>
      <c r="B11" s="614"/>
      <c r="C11" s="618"/>
      <c r="D11" s="616"/>
      <c r="E11" s="618"/>
      <c r="F11" s="592"/>
      <c r="G11" s="592"/>
      <c r="H11" s="592"/>
      <c r="I11" s="592"/>
      <c r="J11" s="589"/>
      <c r="K11" s="589"/>
      <c r="L11" s="589"/>
      <c r="M11" s="589"/>
      <c r="N11" s="589"/>
      <c r="O11" s="589"/>
      <c r="P11" s="592"/>
      <c r="Q11" s="581"/>
      <c r="R11" s="585"/>
      <c r="S11" s="585"/>
      <c r="T11" s="604"/>
      <c r="U11" s="585"/>
      <c r="V11" s="585"/>
      <c r="W11" s="606"/>
      <c r="X11" s="585"/>
      <c r="Y11" s="585"/>
      <c r="Z11" s="585"/>
      <c r="AA11" s="596"/>
      <c r="AB11" s="688"/>
      <c r="AC11" s="569"/>
      <c r="AD11" s="694"/>
    </row>
    <row r="12" spans="1:30" ht="60" customHeight="1" x14ac:dyDescent="0.3">
      <c r="A12" s="591" t="s">
        <v>369</v>
      </c>
      <c r="B12" s="613" t="s">
        <v>207</v>
      </c>
      <c r="C12" s="617" t="s">
        <v>221</v>
      </c>
      <c r="D12" s="615" t="s">
        <v>222</v>
      </c>
      <c r="E12" s="617">
        <v>0</v>
      </c>
      <c r="F12" s="586">
        <v>11</v>
      </c>
      <c r="G12" s="586">
        <v>14</v>
      </c>
      <c r="H12" s="586">
        <v>11</v>
      </c>
      <c r="I12" s="621">
        <f>E12+F12+G12+H12</f>
        <v>36</v>
      </c>
      <c r="J12" s="588">
        <v>0</v>
      </c>
      <c r="K12" s="588">
        <v>0</v>
      </c>
      <c r="L12" s="588">
        <v>4</v>
      </c>
      <c r="M12" s="588"/>
      <c r="N12" s="588">
        <v>4</v>
      </c>
      <c r="O12" s="588">
        <v>0</v>
      </c>
      <c r="P12" s="591">
        <v>0</v>
      </c>
      <c r="Q12" s="580">
        <v>25</v>
      </c>
      <c r="R12" s="584">
        <v>0</v>
      </c>
      <c r="S12" s="584">
        <v>11</v>
      </c>
      <c r="T12" s="599">
        <v>0</v>
      </c>
      <c r="U12" s="584">
        <v>4</v>
      </c>
      <c r="V12" s="584">
        <v>14</v>
      </c>
      <c r="W12" s="601">
        <f>(U12/V12)*25</f>
        <v>7.1428571428571423</v>
      </c>
      <c r="X12" s="584"/>
      <c r="Y12" s="584"/>
      <c r="Z12" s="584"/>
      <c r="AA12" s="595">
        <f>Z12+W12+T12+Q12</f>
        <v>32.142857142857139</v>
      </c>
      <c r="AB12" s="690" t="s">
        <v>364</v>
      </c>
      <c r="AC12" s="569" t="s">
        <v>907</v>
      </c>
      <c r="AD12" s="694"/>
    </row>
    <row r="13" spans="1:30" x14ac:dyDescent="0.3">
      <c r="A13" s="592"/>
      <c r="B13" s="614"/>
      <c r="C13" s="618"/>
      <c r="D13" s="616"/>
      <c r="E13" s="618"/>
      <c r="F13" s="587"/>
      <c r="G13" s="587"/>
      <c r="H13" s="587"/>
      <c r="I13" s="622"/>
      <c r="J13" s="589"/>
      <c r="K13" s="589"/>
      <c r="L13" s="589"/>
      <c r="M13" s="589"/>
      <c r="N13" s="589"/>
      <c r="O13" s="589"/>
      <c r="P13" s="592"/>
      <c r="Q13" s="581"/>
      <c r="R13" s="585"/>
      <c r="S13" s="585"/>
      <c r="T13" s="600"/>
      <c r="U13" s="585"/>
      <c r="V13" s="585"/>
      <c r="W13" s="602"/>
      <c r="X13" s="585"/>
      <c r="Y13" s="585"/>
      <c r="Z13" s="585"/>
      <c r="AA13" s="596"/>
      <c r="AB13" s="691"/>
      <c r="AC13" s="569"/>
      <c r="AD13" s="694"/>
    </row>
    <row r="14" spans="1:30" x14ac:dyDescent="0.3">
      <c r="A14" s="617" t="s">
        <v>372</v>
      </c>
      <c r="B14" s="613" t="s">
        <v>208</v>
      </c>
      <c r="C14" s="617" t="s">
        <v>221</v>
      </c>
      <c r="D14" s="615" t="s">
        <v>222</v>
      </c>
      <c r="E14" s="623">
        <v>5</v>
      </c>
      <c r="F14" s="586">
        <v>21</v>
      </c>
      <c r="G14" s="586">
        <v>13</v>
      </c>
      <c r="H14" s="586">
        <v>13</v>
      </c>
      <c r="I14" s="586">
        <f>E14+F14+G14+H14</f>
        <v>52</v>
      </c>
      <c r="J14" s="590">
        <v>11</v>
      </c>
      <c r="K14" s="590">
        <v>18</v>
      </c>
      <c r="L14" s="590">
        <v>20</v>
      </c>
      <c r="M14" s="590"/>
      <c r="N14" s="590">
        <f>J14+K14+L14</f>
        <v>49</v>
      </c>
      <c r="O14" s="590">
        <v>11</v>
      </c>
      <c r="P14" s="590">
        <v>5</v>
      </c>
      <c r="Q14" s="580">
        <f>O14/P14*25</f>
        <v>55.000000000000007</v>
      </c>
      <c r="R14" s="582">
        <v>18</v>
      </c>
      <c r="S14" s="582">
        <v>21</v>
      </c>
      <c r="T14" s="583">
        <f>(R14/S14)*25</f>
        <v>21.428571428571427</v>
      </c>
      <c r="U14" s="582">
        <v>20</v>
      </c>
      <c r="V14" s="582">
        <v>13</v>
      </c>
      <c r="W14" s="583">
        <f>(U14/V14)*25</f>
        <v>38.461538461538467</v>
      </c>
      <c r="X14" s="582"/>
      <c r="Y14" s="582"/>
      <c r="Z14" s="582"/>
      <c r="AA14" s="597">
        <f>Q14+T14+W153+Z14*100</f>
        <v>76.428571428571431</v>
      </c>
      <c r="AB14" s="687" t="s">
        <v>365</v>
      </c>
      <c r="AC14" s="697"/>
      <c r="AD14" s="694"/>
    </row>
    <row r="15" spans="1:30" ht="78.599999999999994" customHeight="1" x14ac:dyDescent="0.3">
      <c r="A15" s="618"/>
      <c r="B15" s="614"/>
      <c r="C15" s="618"/>
      <c r="D15" s="616"/>
      <c r="E15" s="624"/>
      <c r="F15" s="587"/>
      <c r="G15" s="587"/>
      <c r="H15" s="587"/>
      <c r="I15" s="587"/>
      <c r="J15" s="590"/>
      <c r="K15" s="590"/>
      <c r="L15" s="590"/>
      <c r="M15" s="590"/>
      <c r="N15" s="590"/>
      <c r="O15" s="590"/>
      <c r="P15" s="590"/>
      <c r="Q15" s="581"/>
      <c r="R15" s="582"/>
      <c r="S15" s="582"/>
      <c r="T15" s="583"/>
      <c r="U15" s="582"/>
      <c r="V15" s="582"/>
      <c r="W15" s="583"/>
      <c r="X15" s="582"/>
      <c r="Y15" s="582"/>
      <c r="Z15" s="582"/>
      <c r="AA15" s="598"/>
      <c r="AB15" s="688"/>
      <c r="AC15" s="697"/>
      <c r="AD15" s="694"/>
    </row>
    <row r="16" spans="1:30" ht="135" customHeight="1" x14ac:dyDescent="0.3">
      <c r="A16" s="54" t="s">
        <v>372</v>
      </c>
      <c r="B16" s="99" t="s">
        <v>785</v>
      </c>
      <c r="C16" s="67" t="s">
        <v>221</v>
      </c>
      <c r="D16" s="68" t="s">
        <v>222</v>
      </c>
      <c r="E16" s="69">
        <v>11</v>
      </c>
      <c r="F16" s="70">
        <v>14</v>
      </c>
      <c r="G16" s="70">
        <v>15</v>
      </c>
      <c r="H16" s="70">
        <v>13</v>
      </c>
      <c r="I16" s="63">
        <v>54</v>
      </c>
      <c r="J16" s="65">
        <v>11</v>
      </c>
      <c r="K16" s="65">
        <v>0</v>
      </c>
      <c r="L16" s="65">
        <v>3</v>
      </c>
      <c r="M16" s="65"/>
      <c r="N16" s="65">
        <v>14</v>
      </c>
      <c r="O16" s="65">
        <v>11</v>
      </c>
      <c r="P16" s="65">
        <v>11</v>
      </c>
      <c r="Q16" s="66">
        <v>25</v>
      </c>
      <c r="R16" s="60">
        <v>0</v>
      </c>
      <c r="S16" s="60">
        <v>14</v>
      </c>
      <c r="T16" s="50">
        <v>0</v>
      </c>
      <c r="U16" s="60">
        <v>3</v>
      </c>
      <c r="V16" s="60">
        <v>6</v>
      </c>
      <c r="W16" s="135">
        <f t="shared" ref="W16:W22" si="2">(U16/V16)*25</f>
        <v>12.5</v>
      </c>
      <c r="X16" s="60"/>
      <c r="Y16" s="60"/>
      <c r="Z16" s="60"/>
      <c r="AA16" s="309">
        <f>Z16+W16+T16+Q16</f>
        <v>37.5</v>
      </c>
      <c r="AB16" s="692"/>
      <c r="AC16" s="487" t="s">
        <v>913</v>
      </c>
      <c r="AD16" s="694"/>
    </row>
    <row r="17" spans="1:30" ht="103.8" customHeight="1" x14ac:dyDescent="0.3">
      <c r="A17" s="54" t="s">
        <v>372</v>
      </c>
      <c r="B17" s="26" t="s">
        <v>209</v>
      </c>
      <c r="C17" s="49" t="s">
        <v>223</v>
      </c>
      <c r="D17" s="49" t="s">
        <v>224</v>
      </c>
      <c r="E17" s="54">
        <v>0</v>
      </c>
      <c r="F17" s="70">
        <v>31</v>
      </c>
      <c r="G17" s="70">
        <v>41</v>
      </c>
      <c r="H17" s="70">
        <v>23</v>
      </c>
      <c r="I17" s="63">
        <v>95</v>
      </c>
      <c r="J17" s="65">
        <v>0</v>
      </c>
      <c r="K17" s="65">
        <v>0</v>
      </c>
      <c r="L17" s="65">
        <v>35</v>
      </c>
      <c r="M17" s="65"/>
      <c r="N17" s="65">
        <v>35</v>
      </c>
      <c r="O17" s="65">
        <v>0</v>
      </c>
      <c r="P17" s="65">
        <v>0</v>
      </c>
      <c r="Q17" s="66">
        <v>25</v>
      </c>
      <c r="R17" s="60">
        <v>0</v>
      </c>
      <c r="S17" s="60">
        <v>31</v>
      </c>
      <c r="T17" s="50">
        <v>0</v>
      </c>
      <c r="U17" s="60">
        <v>35</v>
      </c>
      <c r="V17" s="60">
        <v>41</v>
      </c>
      <c r="W17" s="117">
        <f t="shared" si="2"/>
        <v>21.341463414634145</v>
      </c>
      <c r="X17" s="60"/>
      <c r="Y17" s="60"/>
      <c r="Z17" s="60"/>
      <c r="AA17" s="309">
        <f>Z17+W17+T17+Q17</f>
        <v>46.341463414634148</v>
      </c>
      <c r="AB17" s="686" t="s">
        <v>366</v>
      </c>
      <c r="AC17" s="491" t="s">
        <v>914</v>
      </c>
      <c r="AD17" s="694"/>
    </row>
    <row r="18" spans="1:30" ht="115.2" x14ac:dyDescent="0.3">
      <c r="A18" s="128" t="s">
        <v>856</v>
      </c>
      <c r="B18" s="49" t="s">
        <v>210</v>
      </c>
      <c r="C18" s="54" t="s">
        <v>221</v>
      </c>
      <c r="D18" s="49" t="s">
        <v>222</v>
      </c>
      <c r="E18" s="54">
        <v>0</v>
      </c>
      <c r="F18" s="63">
        <v>9</v>
      </c>
      <c r="G18" s="63">
        <v>9</v>
      </c>
      <c r="H18" s="63">
        <v>8</v>
      </c>
      <c r="I18" s="63">
        <v>26</v>
      </c>
      <c r="J18" s="65">
        <v>0</v>
      </c>
      <c r="K18" s="65">
        <v>2</v>
      </c>
      <c r="L18" s="65">
        <v>11</v>
      </c>
      <c r="M18" s="65"/>
      <c r="N18" s="65">
        <v>13</v>
      </c>
      <c r="O18" s="65">
        <v>0</v>
      </c>
      <c r="P18" s="65">
        <v>0</v>
      </c>
      <c r="Q18" s="66">
        <f t="shared" ref="Q18" si="3">O16/P16*25</f>
        <v>25</v>
      </c>
      <c r="R18" s="60">
        <v>2</v>
      </c>
      <c r="S18" s="60">
        <v>9</v>
      </c>
      <c r="T18" s="109">
        <f>(R18/S18)*25</f>
        <v>5.5555555555555554</v>
      </c>
      <c r="U18" s="60">
        <v>13</v>
      </c>
      <c r="V18" s="60">
        <v>11</v>
      </c>
      <c r="W18" s="117">
        <f t="shared" si="2"/>
        <v>29.545454545454547</v>
      </c>
      <c r="X18" s="60"/>
      <c r="Y18" s="60"/>
      <c r="Z18" s="60"/>
      <c r="AA18" s="309">
        <f>Z18+W18+T18+Q18</f>
        <v>60.101010101010104</v>
      </c>
      <c r="AB18" s="686" t="s">
        <v>366</v>
      </c>
      <c r="AC18" s="489"/>
      <c r="AD18" s="694"/>
    </row>
    <row r="19" spans="1:30" ht="115.2" x14ac:dyDescent="0.3">
      <c r="A19" s="128" t="s">
        <v>856</v>
      </c>
      <c r="B19" s="49" t="s">
        <v>211</v>
      </c>
      <c r="C19" s="54" t="s">
        <v>221</v>
      </c>
      <c r="D19" s="49" t="s">
        <v>222</v>
      </c>
      <c r="E19" s="54">
        <v>0</v>
      </c>
      <c r="F19" s="70">
        <v>38</v>
      </c>
      <c r="G19" s="70">
        <v>20</v>
      </c>
      <c r="H19" s="70">
        <v>6</v>
      </c>
      <c r="I19" s="63">
        <f>E19+F19+G19+H19</f>
        <v>64</v>
      </c>
      <c r="J19" s="65">
        <v>0</v>
      </c>
      <c r="K19" s="65">
        <v>40</v>
      </c>
      <c r="L19" s="65">
        <v>0</v>
      </c>
      <c r="M19" s="65"/>
      <c r="N19" s="65">
        <v>40</v>
      </c>
      <c r="O19" s="65">
        <v>0</v>
      </c>
      <c r="P19" s="65">
        <v>0</v>
      </c>
      <c r="Q19" s="66">
        <v>25</v>
      </c>
      <c r="R19" s="60">
        <v>40</v>
      </c>
      <c r="S19" s="60">
        <v>38</v>
      </c>
      <c r="T19" s="52">
        <f>(R19/S19)*25</f>
        <v>26.315789473684209</v>
      </c>
      <c r="U19" s="60">
        <v>0</v>
      </c>
      <c r="V19" s="60">
        <v>24</v>
      </c>
      <c r="W19" s="136">
        <f t="shared" si="2"/>
        <v>0</v>
      </c>
      <c r="X19" s="60"/>
      <c r="Y19" s="60"/>
      <c r="Z19" s="60"/>
      <c r="AA19" s="309">
        <f>Z19+W19+T19+Q19</f>
        <v>51.315789473684205</v>
      </c>
      <c r="AB19" s="686" t="s">
        <v>366</v>
      </c>
      <c r="AC19" s="697"/>
      <c r="AD19" s="694"/>
    </row>
    <row r="20" spans="1:30" ht="75" customHeight="1" x14ac:dyDescent="0.3">
      <c r="A20" s="107" t="s">
        <v>373</v>
      </c>
      <c r="B20" s="107" t="s">
        <v>212</v>
      </c>
      <c r="C20" s="107" t="s">
        <v>225</v>
      </c>
      <c r="D20" s="107" t="s">
        <v>226</v>
      </c>
      <c r="E20" s="106">
        <v>7</v>
      </c>
      <c r="F20" s="105">
        <v>7</v>
      </c>
      <c r="G20" s="105">
        <v>8</v>
      </c>
      <c r="H20" s="105">
        <v>8</v>
      </c>
      <c r="I20" s="105">
        <f>E20+F20+G20+H20</f>
        <v>30</v>
      </c>
      <c r="J20" s="104">
        <v>0</v>
      </c>
      <c r="K20" s="104">
        <v>3</v>
      </c>
      <c r="L20" s="104">
        <v>16</v>
      </c>
      <c r="M20" s="104"/>
      <c r="N20" s="104">
        <v>19</v>
      </c>
      <c r="O20" s="104">
        <v>0</v>
      </c>
      <c r="P20" s="104">
        <v>7</v>
      </c>
      <c r="Q20" s="119">
        <v>0</v>
      </c>
      <c r="R20" s="102">
        <v>3</v>
      </c>
      <c r="S20" s="102">
        <v>7</v>
      </c>
      <c r="T20" s="120">
        <f>(R20/S20)*25</f>
        <v>10.714285714285714</v>
      </c>
      <c r="U20" s="102">
        <v>19</v>
      </c>
      <c r="V20" s="102">
        <v>8</v>
      </c>
      <c r="W20" s="137">
        <f t="shared" si="2"/>
        <v>59.375</v>
      </c>
      <c r="X20" s="102"/>
      <c r="Y20" s="102"/>
      <c r="Z20" s="102"/>
      <c r="AA20" s="309">
        <f>Q20+T20+W20+Z20</f>
        <v>70.089285714285708</v>
      </c>
      <c r="AB20" s="693" t="s">
        <v>366</v>
      </c>
      <c r="AC20" s="697"/>
      <c r="AD20" s="694"/>
    </row>
    <row r="21" spans="1:30" ht="75" customHeight="1" x14ac:dyDescent="0.3">
      <c r="A21" s="131" t="s">
        <v>857</v>
      </c>
      <c r="B21" s="79" t="s">
        <v>786</v>
      </c>
      <c r="C21" s="79" t="s">
        <v>787</v>
      </c>
      <c r="D21" s="79" t="s">
        <v>788</v>
      </c>
      <c r="E21" s="108">
        <v>0</v>
      </c>
      <c r="F21" s="63">
        <v>0</v>
      </c>
      <c r="G21" s="63">
        <v>1</v>
      </c>
      <c r="H21" s="63">
        <v>0</v>
      </c>
      <c r="I21" s="63">
        <v>1</v>
      </c>
      <c r="J21" s="103">
        <v>0</v>
      </c>
      <c r="K21" s="103">
        <v>0</v>
      </c>
      <c r="L21" s="103">
        <v>8</v>
      </c>
      <c r="M21" s="103"/>
      <c r="N21" s="103">
        <v>8</v>
      </c>
      <c r="O21" s="103">
        <v>0</v>
      </c>
      <c r="P21" s="103">
        <v>0</v>
      </c>
      <c r="Q21" s="51">
        <v>25</v>
      </c>
      <c r="R21" s="101">
        <v>0</v>
      </c>
      <c r="S21" s="101">
        <v>0</v>
      </c>
      <c r="T21" s="111">
        <v>25</v>
      </c>
      <c r="U21" s="101">
        <v>8</v>
      </c>
      <c r="V21" s="101">
        <v>1</v>
      </c>
      <c r="W21" s="61">
        <f t="shared" si="2"/>
        <v>200</v>
      </c>
      <c r="X21" s="101"/>
      <c r="Y21" s="101"/>
      <c r="Z21" s="101"/>
      <c r="AA21" s="111">
        <f>Q21+T21+W21+Z21</f>
        <v>250</v>
      </c>
      <c r="AB21" s="686"/>
      <c r="AC21" s="491" t="s">
        <v>912</v>
      </c>
      <c r="AD21" s="694"/>
    </row>
    <row r="22" spans="1:30" ht="75" customHeight="1" x14ac:dyDescent="0.3">
      <c r="A22" s="131" t="s">
        <v>857</v>
      </c>
      <c r="B22" s="79" t="s">
        <v>789</v>
      </c>
      <c r="C22" s="79" t="s">
        <v>793</v>
      </c>
      <c r="D22" s="79" t="s">
        <v>794</v>
      </c>
      <c r="E22" s="108">
        <v>0</v>
      </c>
      <c r="F22" s="63">
        <v>0</v>
      </c>
      <c r="G22" s="63">
        <v>1</v>
      </c>
      <c r="H22" s="63">
        <v>0</v>
      </c>
      <c r="I22" s="63">
        <v>1</v>
      </c>
      <c r="J22" s="103">
        <v>0</v>
      </c>
      <c r="K22" s="103">
        <v>0</v>
      </c>
      <c r="L22" s="103">
        <v>0</v>
      </c>
      <c r="M22" s="103"/>
      <c r="N22" s="103">
        <v>0</v>
      </c>
      <c r="O22" s="103">
        <v>0</v>
      </c>
      <c r="P22" s="103">
        <v>0</v>
      </c>
      <c r="Q22" s="51">
        <v>25</v>
      </c>
      <c r="R22" s="101">
        <v>0</v>
      </c>
      <c r="S22" s="101">
        <v>0</v>
      </c>
      <c r="T22" s="111">
        <v>25</v>
      </c>
      <c r="U22" s="101">
        <v>0</v>
      </c>
      <c r="V22" s="101">
        <v>1</v>
      </c>
      <c r="W22" s="136">
        <f t="shared" si="2"/>
        <v>0</v>
      </c>
      <c r="X22" s="101"/>
      <c r="Y22" s="101"/>
      <c r="Z22" s="101"/>
      <c r="AA22" s="121">
        <v>50</v>
      </c>
      <c r="AB22" s="686"/>
      <c r="AC22" s="90" t="s">
        <v>909</v>
      </c>
      <c r="AD22" s="694"/>
    </row>
    <row r="23" spans="1:30" ht="75" customHeight="1" x14ac:dyDescent="0.3">
      <c r="A23" s="131"/>
      <c r="B23" s="79" t="s">
        <v>790</v>
      </c>
      <c r="C23" s="79" t="s">
        <v>221</v>
      </c>
      <c r="D23" s="79" t="s">
        <v>528</v>
      </c>
      <c r="E23" s="108">
        <v>0</v>
      </c>
      <c r="F23" s="63">
        <v>5</v>
      </c>
      <c r="G23" s="63">
        <v>5</v>
      </c>
      <c r="H23" s="63">
        <v>3</v>
      </c>
      <c r="I23" s="63">
        <v>13</v>
      </c>
      <c r="J23" s="103">
        <v>0</v>
      </c>
      <c r="K23" s="103">
        <v>0</v>
      </c>
      <c r="L23" s="103"/>
      <c r="M23" s="103"/>
      <c r="N23" s="103">
        <v>0</v>
      </c>
      <c r="O23" s="103">
        <v>0</v>
      </c>
      <c r="P23" s="103">
        <v>0</v>
      </c>
      <c r="Q23" s="51">
        <v>25</v>
      </c>
      <c r="R23" s="101">
        <v>0</v>
      </c>
      <c r="S23" s="101">
        <v>5</v>
      </c>
      <c r="T23" s="121">
        <v>0</v>
      </c>
      <c r="U23" s="101"/>
      <c r="V23" s="101"/>
      <c r="W23" s="101"/>
      <c r="X23" s="101"/>
      <c r="Y23" s="101"/>
      <c r="Z23" s="101"/>
      <c r="AA23" s="121">
        <v>25</v>
      </c>
      <c r="AB23" s="686"/>
      <c r="AC23" s="697"/>
      <c r="AD23" s="694"/>
    </row>
    <row r="24" spans="1:30" ht="75" customHeight="1" x14ac:dyDescent="0.3">
      <c r="A24" s="63" t="s">
        <v>857</v>
      </c>
      <c r="B24" s="79" t="s">
        <v>791</v>
      </c>
      <c r="C24" s="79" t="s">
        <v>221</v>
      </c>
      <c r="D24" s="79" t="s">
        <v>528</v>
      </c>
      <c r="E24" s="108">
        <v>0</v>
      </c>
      <c r="F24" s="63">
        <v>0</v>
      </c>
      <c r="G24" s="63">
        <v>10</v>
      </c>
      <c r="H24" s="63">
        <v>8</v>
      </c>
      <c r="I24" s="63">
        <v>18</v>
      </c>
      <c r="J24" s="103">
        <v>0</v>
      </c>
      <c r="K24" s="103">
        <v>0</v>
      </c>
      <c r="L24" s="103">
        <v>8</v>
      </c>
      <c r="M24" s="103"/>
      <c r="N24" s="103">
        <v>8</v>
      </c>
      <c r="O24" s="103">
        <v>0</v>
      </c>
      <c r="P24" s="103">
        <v>0</v>
      </c>
      <c r="Q24" s="51">
        <v>25</v>
      </c>
      <c r="R24" s="101">
        <v>0</v>
      </c>
      <c r="S24" s="101">
        <v>0</v>
      </c>
      <c r="T24" s="111">
        <v>25</v>
      </c>
      <c r="U24" s="101">
        <v>8</v>
      </c>
      <c r="V24" s="101">
        <v>10</v>
      </c>
      <c r="W24" s="138">
        <f>(U24/V24)*25</f>
        <v>20</v>
      </c>
      <c r="X24" s="101"/>
      <c r="Y24" s="101"/>
      <c r="Z24" s="101"/>
      <c r="AA24" s="121">
        <f>Q24+T24+W24+Z24</f>
        <v>70</v>
      </c>
      <c r="AB24" s="686"/>
      <c r="AC24" s="697"/>
      <c r="AD24" s="694"/>
    </row>
    <row r="25" spans="1:30" s="146" customFormat="1" ht="15" customHeight="1" x14ac:dyDescent="0.3">
      <c r="A25" s="140"/>
      <c r="B25" s="141"/>
      <c r="C25" s="141"/>
      <c r="D25" s="141"/>
      <c r="E25" s="140"/>
      <c r="F25" s="140"/>
      <c r="G25" s="140"/>
      <c r="H25" s="140"/>
      <c r="I25" s="140"/>
      <c r="J25" s="142"/>
      <c r="K25" s="142"/>
      <c r="L25" s="142"/>
      <c r="M25" s="142"/>
      <c r="N25" s="142"/>
      <c r="O25" s="142"/>
      <c r="P25" s="142"/>
      <c r="Q25" s="143"/>
      <c r="R25" s="142"/>
      <c r="S25" s="142"/>
      <c r="T25" s="144"/>
      <c r="U25" s="142"/>
      <c r="V25" s="142"/>
      <c r="W25" s="142"/>
      <c r="X25" s="142"/>
      <c r="Y25" s="142"/>
      <c r="Z25" s="142"/>
      <c r="AA25" s="144"/>
      <c r="AB25" s="145"/>
      <c r="AC25" s="698"/>
      <c r="AD25" s="695"/>
    </row>
    <row r="26" spans="1:30" ht="80.400000000000006" customHeight="1" x14ac:dyDescent="0.3">
      <c r="A26" s="63" t="s">
        <v>856</v>
      </c>
      <c r="B26" s="53" t="s">
        <v>859</v>
      </c>
      <c r="C26" s="63" t="s">
        <v>221</v>
      </c>
      <c r="D26" s="53" t="s">
        <v>222</v>
      </c>
      <c r="E26" s="149">
        <v>0</v>
      </c>
      <c r="F26" s="149">
        <v>20</v>
      </c>
      <c r="G26" s="149">
        <v>24</v>
      </c>
      <c r="H26" s="149">
        <v>20</v>
      </c>
      <c r="I26" s="149">
        <v>64</v>
      </c>
      <c r="J26" s="149">
        <v>0</v>
      </c>
      <c r="K26" s="149">
        <v>32</v>
      </c>
      <c r="L26" s="149">
        <v>26</v>
      </c>
      <c r="M26" s="149"/>
      <c r="N26" s="115">
        <f>SUM(J26:M26)</f>
        <v>58</v>
      </c>
      <c r="O26" s="115">
        <v>0</v>
      </c>
      <c r="P26" s="115">
        <v>0</v>
      </c>
      <c r="Q26" s="157">
        <v>25</v>
      </c>
      <c r="R26" s="115">
        <v>32</v>
      </c>
      <c r="S26" s="115">
        <v>20</v>
      </c>
      <c r="T26" s="154">
        <f>(R26/S26)*25</f>
        <v>40</v>
      </c>
      <c r="U26" s="132">
        <v>26</v>
      </c>
      <c r="V26" s="115">
        <v>24</v>
      </c>
      <c r="W26" s="156">
        <f>(U26/V26)*25</f>
        <v>27.083333333333332</v>
      </c>
      <c r="X26" s="130"/>
      <c r="Y26" s="130"/>
      <c r="Z26" s="130"/>
      <c r="AA26" s="519">
        <f>Z26+W26+T26+Q26</f>
        <v>92.083333333333329</v>
      </c>
      <c r="AB26" s="686"/>
      <c r="AC26" s="697"/>
      <c r="AD26" s="694"/>
    </row>
    <row r="27" spans="1:30" ht="67.8" customHeight="1" x14ac:dyDescent="0.3">
      <c r="A27" s="63" t="s">
        <v>856</v>
      </c>
      <c r="B27" s="53" t="s">
        <v>860</v>
      </c>
      <c r="C27" s="63" t="s">
        <v>221</v>
      </c>
      <c r="D27" s="53" t="s">
        <v>222</v>
      </c>
      <c r="E27" s="149">
        <v>0</v>
      </c>
      <c r="F27" s="149">
        <v>9</v>
      </c>
      <c r="G27" s="149">
        <v>9</v>
      </c>
      <c r="H27" s="149">
        <v>8</v>
      </c>
      <c r="I27" s="149">
        <v>26</v>
      </c>
      <c r="J27" s="149">
        <v>0</v>
      </c>
      <c r="K27" s="149">
        <v>1</v>
      </c>
      <c r="L27" s="149">
        <v>13</v>
      </c>
      <c r="M27" s="149"/>
      <c r="N27" s="115">
        <f>SUM(J27:M27)</f>
        <v>14</v>
      </c>
      <c r="O27" s="115">
        <v>0</v>
      </c>
      <c r="P27" s="115">
        <v>0</v>
      </c>
      <c r="Q27" s="157">
        <v>25</v>
      </c>
      <c r="R27" s="115">
        <v>1</v>
      </c>
      <c r="S27" s="115">
        <v>9</v>
      </c>
      <c r="T27" s="155">
        <f t="shared" ref="T27:T29" si="4">(R27/S27)*25</f>
        <v>2.7777777777777777</v>
      </c>
      <c r="U27" s="132">
        <v>13</v>
      </c>
      <c r="V27" s="115">
        <v>9</v>
      </c>
      <c r="W27" s="156">
        <f t="shared" ref="W27:W30" si="5">(U27/V27)*25</f>
        <v>36.111111111111107</v>
      </c>
      <c r="X27" s="130"/>
      <c r="Y27" s="130"/>
      <c r="Z27" s="130"/>
      <c r="AA27" s="520">
        <f>Z27+W27+T27+Q27</f>
        <v>63.888888888888886</v>
      </c>
      <c r="AB27" s="686"/>
      <c r="AC27" s="697"/>
      <c r="AD27" s="694"/>
    </row>
    <row r="28" spans="1:30" ht="46.8" customHeight="1" x14ac:dyDescent="0.3">
      <c r="A28" s="150" t="s">
        <v>861</v>
      </c>
      <c r="B28" s="151" t="s">
        <v>862</v>
      </c>
      <c r="C28" s="53" t="s">
        <v>863</v>
      </c>
      <c r="D28" s="53" t="s">
        <v>864</v>
      </c>
      <c r="E28" s="149">
        <v>0</v>
      </c>
      <c r="F28" s="149">
        <v>0</v>
      </c>
      <c r="G28" s="149">
        <v>60</v>
      </c>
      <c r="H28" s="149">
        <v>40</v>
      </c>
      <c r="I28" s="149">
        <v>100</v>
      </c>
      <c r="J28" s="149">
        <v>0</v>
      </c>
      <c r="K28" s="149">
        <v>0</v>
      </c>
      <c r="L28" s="149">
        <v>60</v>
      </c>
      <c r="M28" s="149"/>
      <c r="N28" s="115"/>
      <c r="O28" s="115">
        <v>0</v>
      </c>
      <c r="P28" s="115">
        <v>0</v>
      </c>
      <c r="Q28" s="157">
        <v>25</v>
      </c>
      <c r="R28" s="115">
        <v>0</v>
      </c>
      <c r="S28" s="115">
        <v>0</v>
      </c>
      <c r="T28" s="154">
        <v>25</v>
      </c>
      <c r="U28" s="115">
        <v>60</v>
      </c>
      <c r="V28" s="115">
        <v>60</v>
      </c>
      <c r="W28" s="156">
        <f t="shared" si="5"/>
        <v>25</v>
      </c>
      <c r="X28" s="130"/>
      <c r="Y28" s="130"/>
      <c r="Z28" s="130"/>
      <c r="AA28" s="521">
        <f>Z28+T28+W28+Q28</f>
        <v>75</v>
      </c>
      <c r="AB28" s="686"/>
      <c r="AC28" s="697"/>
      <c r="AD28" s="694"/>
    </row>
    <row r="29" spans="1:30" ht="51" customHeight="1" x14ac:dyDescent="0.3">
      <c r="A29" s="150" t="s">
        <v>865</v>
      </c>
      <c r="B29" s="153" t="s">
        <v>866</v>
      </c>
      <c r="C29" s="131" t="s">
        <v>221</v>
      </c>
      <c r="D29" s="131" t="s">
        <v>528</v>
      </c>
      <c r="E29" s="152">
        <v>0</v>
      </c>
      <c r="F29" s="115">
        <v>18</v>
      </c>
      <c r="G29" s="115">
        <v>20</v>
      </c>
      <c r="H29" s="115">
        <v>18</v>
      </c>
      <c r="I29" s="115">
        <v>56</v>
      </c>
      <c r="J29" s="115">
        <v>0</v>
      </c>
      <c r="K29" s="115">
        <v>20</v>
      </c>
      <c r="L29" s="115">
        <v>24</v>
      </c>
      <c r="M29" s="149"/>
      <c r="N29" s="149">
        <f t="shared" ref="N29:N30" si="6">SUM(J29:M29)</f>
        <v>44</v>
      </c>
      <c r="O29" s="149">
        <v>0</v>
      </c>
      <c r="P29" s="149">
        <v>0</v>
      </c>
      <c r="Q29" s="157">
        <v>25</v>
      </c>
      <c r="R29" s="149">
        <v>21</v>
      </c>
      <c r="S29" s="149">
        <v>18</v>
      </c>
      <c r="T29" s="158">
        <f t="shared" si="4"/>
        <v>29.166666666666668</v>
      </c>
      <c r="U29" s="132">
        <v>24</v>
      </c>
      <c r="V29" s="115">
        <v>20</v>
      </c>
      <c r="W29" s="156">
        <f t="shared" si="5"/>
        <v>30</v>
      </c>
      <c r="X29" s="130"/>
      <c r="Y29" s="130"/>
      <c r="Z29" s="130"/>
      <c r="AA29" s="522">
        <f>Q29+T29+W29+Z29</f>
        <v>84.166666666666671</v>
      </c>
      <c r="AB29" s="686"/>
      <c r="AC29" s="697"/>
      <c r="AD29" s="694"/>
    </row>
    <row r="30" spans="1:30" ht="51.6" customHeight="1" x14ac:dyDescent="0.3">
      <c r="A30" s="150" t="s">
        <v>865</v>
      </c>
      <c r="B30" s="153" t="s">
        <v>867</v>
      </c>
      <c r="C30" s="131" t="s">
        <v>221</v>
      </c>
      <c r="D30" s="131" t="s">
        <v>528</v>
      </c>
      <c r="E30" s="152">
        <v>0</v>
      </c>
      <c r="F30" s="115">
        <v>0</v>
      </c>
      <c r="G30" s="115">
        <v>13</v>
      </c>
      <c r="H30" s="115">
        <v>13</v>
      </c>
      <c r="I30" s="115">
        <v>26</v>
      </c>
      <c r="J30" s="115">
        <v>0</v>
      </c>
      <c r="K30" s="115">
        <v>0</v>
      </c>
      <c r="L30" s="115">
        <v>14</v>
      </c>
      <c r="M30" s="149"/>
      <c r="N30" s="149">
        <f t="shared" si="6"/>
        <v>14</v>
      </c>
      <c r="O30" s="149">
        <v>0</v>
      </c>
      <c r="P30" s="149">
        <v>0</v>
      </c>
      <c r="Q30" s="157">
        <v>25</v>
      </c>
      <c r="R30" s="149">
        <v>0</v>
      </c>
      <c r="S30" s="149">
        <v>0</v>
      </c>
      <c r="T30" s="154">
        <v>25</v>
      </c>
      <c r="U30" s="132">
        <v>14</v>
      </c>
      <c r="V30" s="115">
        <v>13</v>
      </c>
      <c r="W30" s="156">
        <f t="shared" si="5"/>
        <v>26.923076923076923</v>
      </c>
      <c r="X30" s="130"/>
      <c r="Y30" s="130"/>
      <c r="Z30" s="130"/>
      <c r="AA30" s="522">
        <f>Q30+T30+W30+Z30</f>
        <v>76.92307692307692</v>
      </c>
      <c r="AB30" s="686"/>
      <c r="AC30" s="697"/>
      <c r="AD30" s="694"/>
    </row>
    <row r="31" spans="1:30" s="92" customFormat="1" ht="61.8" customHeight="1" x14ac:dyDescent="0.3">
      <c r="A31" s="63" t="s">
        <v>856</v>
      </c>
      <c r="B31" s="53" t="s">
        <v>915</v>
      </c>
      <c r="C31" s="53" t="s">
        <v>221</v>
      </c>
      <c r="D31" s="53" t="s">
        <v>222</v>
      </c>
      <c r="E31" s="219">
        <v>0</v>
      </c>
      <c r="F31" s="219">
        <v>20</v>
      </c>
      <c r="G31" s="219">
        <v>24</v>
      </c>
      <c r="H31" s="219">
        <v>20</v>
      </c>
      <c r="I31" s="219">
        <v>64</v>
      </c>
      <c r="J31" s="219">
        <v>0</v>
      </c>
      <c r="K31" s="219">
        <v>38</v>
      </c>
      <c r="L31" s="219">
        <v>0</v>
      </c>
      <c r="M31" s="219"/>
      <c r="N31" s="219">
        <f t="shared" ref="N31" si="7">SUM(J31:M31)</f>
        <v>38</v>
      </c>
      <c r="O31" s="219">
        <v>0</v>
      </c>
      <c r="P31" s="219">
        <v>0</v>
      </c>
      <c r="Q31" s="516">
        <v>0.25</v>
      </c>
      <c r="R31" s="219">
        <v>38</v>
      </c>
      <c r="S31" s="219">
        <v>20</v>
      </c>
      <c r="T31" s="516">
        <f>(R31/S31)*25%</f>
        <v>0.47499999999999998</v>
      </c>
      <c r="U31" s="515">
        <v>0</v>
      </c>
      <c r="V31" s="219">
        <v>24</v>
      </c>
      <c r="W31" s="517">
        <f t="shared" ref="W31" si="8">(U31/V31)*25%</f>
        <v>0</v>
      </c>
      <c r="X31" s="219"/>
      <c r="Y31" s="219"/>
      <c r="Z31" s="219"/>
      <c r="AA31" s="523">
        <f>Z31+W31+T31+Q31</f>
        <v>0.72499999999999998</v>
      </c>
      <c r="AB31" s="219" t="s">
        <v>916</v>
      </c>
      <c r="AC31" s="696" t="s">
        <v>916</v>
      </c>
    </row>
    <row r="32" spans="1:30" x14ac:dyDescent="0.3">
      <c r="B32" s="58"/>
      <c r="C32" s="7"/>
      <c r="D32" s="11"/>
    </row>
    <row r="33" spans="1:17" ht="27.6" x14ac:dyDescent="0.3">
      <c r="A33" s="48" t="s">
        <v>121</v>
      </c>
      <c r="B33" s="41"/>
      <c r="C33" s="15" t="s">
        <v>120</v>
      </c>
      <c r="D33" s="40"/>
      <c r="E33" s="579" t="s">
        <v>795</v>
      </c>
      <c r="F33" s="579"/>
      <c r="G33" s="579"/>
      <c r="J33" s="579" t="s">
        <v>986</v>
      </c>
      <c r="K33" s="579"/>
      <c r="L33" s="579"/>
      <c r="O33" s="579" t="s">
        <v>116</v>
      </c>
      <c r="P33" s="579"/>
      <c r="Q33" s="579"/>
    </row>
    <row r="34" spans="1:17" ht="41.4" x14ac:dyDescent="0.3">
      <c r="A34" s="42" t="s">
        <v>64</v>
      </c>
      <c r="B34" s="4"/>
      <c r="C34" s="43" t="s">
        <v>117</v>
      </c>
      <c r="D34" s="40"/>
      <c r="E34" s="100" t="s">
        <v>113</v>
      </c>
      <c r="F34" s="100">
        <v>8</v>
      </c>
      <c r="G34" s="122">
        <f>8/17*100</f>
        <v>47.058823529411761</v>
      </c>
      <c r="J34" s="494" t="s">
        <v>113</v>
      </c>
      <c r="K34" s="494">
        <v>4</v>
      </c>
      <c r="L34" s="122">
        <f>K34/22*100</f>
        <v>18.181818181818183</v>
      </c>
      <c r="O34" s="48" t="s">
        <v>113</v>
      </c>
      <c r="P34" s="48">
        <v>13</v>
      </c>
      <c r="Q34" s="122">
        <f>P34/23*100</f>
        <v>56.521739130434781</v>
      </c>
    </row>
    <row r="35" spans="1:17" ht="41.4" x14ac:dyDescent="0.3">
      <c r="A35" s="44" t="s">
        <v>65</v>
      </c>
      <c r="B35" s="4"/>
      <c r="C35" s="44" t="s">
        <v>118</v>
      </c>
      <c r="D35" s="40"/>
      <c r="E35" s="100" t="s">
        <v>114</v>
      </c>
      <c r="F35" s="100">
        <v>8</v>
      </c>
      <c r="G35" s="123">
        <f>8/17*100</f>
        <v>47.058823529411761</v>
      </c>
      <c r="J35" s="494" t="s">
        <v>114</v>
      </c>
      <c r="K35" s="494">
        <v>15</v>
      </c>
      <c r="L35" s="123">
        <f>K35/22*100</f>
        <v>68.181818181818173</v>
      </c>
      <c r="O35" s="48" t="s">
        <v>114</v>
      </c>
      <c r="P35" s="48">
        <v>3</v>
      </c>
      <c r="Q35" s="123">
        <f>P35/23*100</f>
        <v>13.043478260869565</v>
      </c>
    </row>
    <row r="36" spans="1:17" ht="41.4" x14ac:dyDescent="0.3">
      <c r="A36" s="45" t="s">
        <v>66</v>
      </c>
      <c r="B36" s="4"/>
      <c r="C36" s="46" t="s">
        <v>119</v>
      </c>
      <c r="D36" s="40"/>
      <c r="E36" s="100" t="s">
        <v>691</v>
      </c>
      <c r="F36" s="100">
        <v>1</v>
      </c>
      <c r="G36" s="124">
        <f>1/17*100</f>
        <v>5.8823529411764701</v>
      </c>
      <c r="J36" s="494" t="s">
        <v>691</v>
      </c>
      <c r="K36" s="494">
        <v>3</v>
      </c>
      <c r="L36" s="125">
        <f>K36/22*100</f>
        <v>13.636363636363635</v>
      </c>
      <c r="O36" s="100" t="s">
        <v>691</v>
      </c>
      <c r="P36" s="100">
        <v>7</v>
      </c>
      <c r="Q36" s="125">
        <f>P36/23*100</f>
        <v>30.434782608695656</v>
      </c>
    </row>
    <row r="37" spans="1:17" ht="48.6" customHeight="1" x14ac:dyDescent="0.3">
      <c r="A37" s="147" t="s">
        <v>858</v>
      </c>
    </row>
  </sheetData>
  <mergeCells count="157">
    <mergeCell ref="J33:L33"/>
    <mergeCell ref="U1:W1"/>
    <mergeCell ref="X1:Z1"/>
    <mergeCell ref="AA1:AA2"/>
    <mergeCell ref="B1:B2"/>
    <mergeCell ref="C1:D1"/>
    <mergeCell ref="E1:I1"/>
    <mergeCell ref="J1:M1"/>
    <mergeCell ref="O1:Q1"/>
    <mergeCell ref="R1:T1"/>
    <mergeCell ref="E14:E15"/>
    <mergeCell ref="F12:F13"/>
    <mergeCell ref="E12:E13"/>
    <mergeCell ref="G12:G13"/>
    <mergeCell ref="G10:G11"/>
    <mergeCell ref="F10:F11"/>
    <mergeCell ref="E10:E11"/>
    <mergeCell ref="A1:A2"/>
    <mergeCell ref="D10:D11"/>
    <mergeCell ref="C14:C15"/>
    <mergeCell ref="D14:D15"/>
    <mergeCell ref="D6:D7"/>
    <mergeCell ref="C12:C13"/>
    <mergeCell ref="D12:D13"/>
    <mergeCell ref="A6:A7"/>
    <mergeCell ref="B6:B7"/>
    <mergeCell ref="D4:D5"/>
    <mergeCell ref="C6:C7"/>
    <mergeCell ref="F14:F15"/>
    <mergeCell ref="G14:G15"/>
    <mergeCell ref="A14:A15"/>
    <mergeCell ref="B14:B15"/>
    <mergeCell ref="E4:E5"/>
    <mergeCell ref="A4:A5"/>
    <mergeCell ref="A12:A13"/>
    <mergeCell ref="B12:B13"/>
    <mergeCell ref="A10:A11"/>
    <mergeCell ref="B10:B11"/>
    <mergeCell ref="C10:C11"/>
    <mergeCell ref="J6:J7"/>
    <mergeCell ref="J4:J5"/>
    <mergeCell ref="F4:F5"/>
    <mergeCell ref="G4:G5"/>
    <mergeCell ref="E6:E7"/>
    <mergeCell ref="F6:F7"/>
    <mergeCell ref="G6:G7"/>
    <mergeCell ref="H12:H13"/>
    <mergeCell ref="I12:I13"/>
    <mergeCell ref="I10:I11"/>
    <mergeCell ref="H10:H11"/>
    <mergeCell ref="H4:H5"/>
    <mergeCell ref="I4:I5"/>
    <mergeCell ref="H6:H7"/>
    <mergeCell ref="I6:I7"/>
    <mergeCell ref="B4:B5"/>
    <mergeCell ref="C4:C5"/>
    <mergeCell ref="AA10:AA11"/>
    <mergeCell ref="AB10:AB11"/>
    <mergeCell ref="K6:K7"/>
    <mergeCell ref="M6:M7"/>
    <mergeCell ref="L6:L7"/>
    <mergeCell ref="W4:W5"/>
    <mergeCell ref="X4:X5"/>
    <mergeCell ref="Y4:Y5"/>
    <mergeCell ref="R4:R5"/>
    <mergeCell ref="S4:S5"/>
    <mergeCell ref="U4:U5"/>
    <mergeCell ref="V4:V5"/>
    <mergeCell ref="N4:N5"/>
    <mergeCell ref="O4:O5"/>
    <mergeCell ref="P4:P5"/>
    <mergeCell ref="Q6:Q7"/>
    <mergeCell ref="T4:T5"/>
    <mergeCell ref="T6:T7"/>
    <mergeCell ref="K4:K5"/>
    <mergeCell ref="L4:L5"/>
    <mergeCell ref="M4:M5"/>
    <mergeCell ref="Z6:Z7"/>
    <mergeCell ref="AA6:AA7"/>
    <mergeCell ref="AB4:AB5"/>
    <mergeCell ref="AB6:AB7"/>
    <mergeCell ref="S6:S7"/>
    <mergeCell ref="U6:U7"/>
    <mergeCell ref="V6:V7"/>
    <mergeCell ref="W6:W7"/>
    <mergeCell ref="N6:N7"/>
    <mergeCell ref="O6:O7"/>
    <mergeCell ref="P6:P7"/>
    <mergeCell ref="R6:R7"/>
    <mergeCell ref="Z4:Z5"/>
    <mergeCell ref="AA4:AA5"/>
    <mergeCell ref="Z10:Z11"/>
    <mergeCell ref="J10:J11"/>
    <mergeCell ref="AA12:AA13"/>
    <mergeCell ref="AB12:AB13"/>
    <mergeCell ref="AB14:AB15"/>
    <mergeCell ref="AA14:AA15"/>
    <mergeCell ref="Z14:Z15"/>
    <mergeCell ref="Y14:Y15"/>
    <mergeCell ref="T12:T13"/>
    <mergeCell ref="U12:U13"/>
    <mergeCell ref="V12:V13"/>
    <mergeCell ref="W12:W13"/>
    <mergeCell ref="X12:X13"/>
    <mergeCell ref="N12:N13"/>
    <mergeCell ref="T10:T11"/>
    <mergeCell ref="U10:U11"/>
    <mergeCell ref="V10:V11"/>
    <mergeCell ref="W10:W11"/>
    <mergeCell ref="X10:X11"/>
    <mergeCell ref="O10:O11"/>
    <mergeCell ref="P10:P11"/>
    <mergeCell ref="Q10:Q11"/>
    <mergeCell ref="M10:M11"/>
    <mergeCell ref="N10:N11"/>
    <mergeCell ref="X6:X7"/>
    <mergeCell ref="Y6:Y7"/>
    <mergeCell ref="R10:R11"/>
    <mergeCell ref="S10:S11"/>
    <mergeCell ref="Z12:Z13"/>
    <mergeCell ref="M14:M15"/>
    <mergeCell ref="Q14:Q15"/>
    <mergeCell ref="Q12:Q13"/>
    <mergeCell ref="R12:R13"/>
    <mergeCell ref="S12:S13"/>
    <mergeCell ref="S14:S15"/>
    <mergeCell ref="R14:R15"/>
    <mergeCell ref="O12:O13"/>
    <mergeCell ref="P12:P13"/>
    <mergeCell ref="P14:P15"/>
    <mergeCell ref="O14:O15"/>
    <mergeCell ref="N14:N15"/>
    <mergeCell ref="M12:M13"/>
    <mergeCell ref="AC4:AC5"/>
    <mergeCell ref="AC10:AC11"/>
    <mergeCell ref="AC12:AC13"/>
    <mergeCell ref="AC6:AC7"/>
    <mergeCell ref="E33:G33"/>
    <mergeCell ref="O33:Q33"/>
    <mergeCell ref="Q4:Q5"/>
    <mergeCell ref="X14:X15"/>
    <mergeCell ref="W14:W15"/>
    <mergeCell ref="V14:V15"/>
    <mergeCell ref="U14:U15"/>
    <mergeCell ref="T14:T15"/>
    <mergeCell ref="Y12:Y13"/>
    <mergeCell ref="Y10:Y11"/>
    <mergeCell ref="H14:H15"/>
    <mergeCell ref="I14:I15"/>
    <mergeCell ref="J12:J13"/>
    <mergeCell ref="K12:K13"/>
    <mergeCell ref="J14:J15"/>
    <mergeCell ref="K14:K15"/>
    <mergeCell ref="L14:L15"/>
    <mergeCell ref="L12:L13"/>
    <mergeCell ref="K10:K11"/>
    <mergeCell ref="L10:L11"/>
  </mergeCells>
  <pageMargins left="0.7" right="0.7" top="0.75" bottom="0.75" header="0.3" footer="0.3"/>
  <pageSetup orientation="portrait" horizontalDpi="300" verticalDpi="3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21"/>
  <sheetViews>
    <sheetView topLeftCell="H16" zoomScale="79" zoomScaleNormal="79" workbookViewId="0">
      <selection activeCell="H19" sqref="H19"/>
    </sheetView>
  </sheetViews>
  <sheetFormatPr baseColWidth="10" defaultRowHeight="14.4" x14ac:dyDescent="0.3"/>
  <cols>
    <col min="1" max="1" width="14.109375" customWidth="1"/>
    <col min="2" max="2" width="9.33203125" customWidth="1"/>
    <col min="3" max="3" width="21" customWidth="1"/>
    <col min="4" max="4" width="16.88671875" customWidth="1"/>
    <col min="5" max="5" width="16.44140625" customWidth="1"/>
    <col min="29" max="29" width="23.44140625" customWidth="1"/>
    <col min="30" max="30" width="23.88671875" style="663" customWidth="1"/>
  </cols>
  <sheetData>
    <row r="1" spans="1:30" x14ac:dyDescent="0.3">
      <c r="A1" s="641" t="s">
        <v>0</v>
      </c>
      <c r="B1" s="641" t="s">
        <v>1</v>
      </c>
      <c r="C1" s="641" t="s">
        <v>2</v>
      </c>
      <c r="D1" s="632" t="s">
        <v>3</v>
      </c>
      <c r="E1" s="632"/>
      <c r="F1" s="640" t="s">
        <v>5</v>
      </c>
      <c r="G1" s="640"/>
      <c r="H1" s="640"/>
      <c r="I1" s="640"/>
      <c r="J1" s="640"/>
      <c r="K1" s="634" t="s">
        <v>6</v>
      </c>
      <c r="L1" s="634"/>
      <c r="M1" s="634"/>
      <c r="N1" s="634"/>
      <c r="O1" s="5"/>
      <c r="P1" s="632" t="s">
        <v>56</v>
      </c>
      <c r="Q1" s="632"/>
      <c r="R1" s="632"/>
      <c r="S1" s="632" t="s">
        <v>57</v>
      </c>
      <c r="T1" s="632"/>
      <c r="U1" s="632"/>
      <c r="V1" s="632" t="s">
        <v>58</v>
      </c>
      <c r="W1" s="632"/>
      <c r="X1" s="632"/>
      <c r="Y1" s="632" t="s">
        <v>59</v>
      </c>
      <c r="Z1" s="632"/>
      <c r="AA1" s="632"/>
      <c r="AB1" s="634" t="s">
        <v>60</v>
      </c>
    </row>
    <row r="2" spans="1:30" ht="30" customHeight="1" x14ac:dyDescent="0.3">
      <c r="A2" s="641"/>
      <c r="B2" s="641"/>
      <c r="C2" s="641"/>
      <c r="D2" s="20" t="s">
        <v>7</v>
      </c>
      <c r="E2" s="20" t="s">
        <v>8</v>
      </c>
      <c r="F2" s="21" t="s">
        <v>13</v>
      </c>
      <c r="G2" s="21" t="s">
        <v>15</v>
      </c>
      <c r="H2" s="21" t="s">
        <v>17</v>
      </c>
      <c r="I2" s="21" t="s">
        <v>18</v>
      </c>
      <c r="J2" s="22" t="s">
        <v>55</v>
      </c>
      <c r="K2" s="23" t="s">
        <v>13</v>
      </c>
      <c r="L2" s="5" t="s">
        <v>15</v>
      </c>
      <c r="M2" s="5" t="s">
        <v>17</v>
      </c>
      <c r="N2" s="5" t="s">
        <v>18</v>
      </c>
      <c r="O2" s="5" t="s">
        <v>61</v>
      </c>
      <c r="P2" s="24" t="s">
        <v>9</v>
      </c>
      <c r="Q2" s="24" t="s">
        <v>10</v>
      </c>
      <c r="R2" s="24" t="s">
        <v>11</v>
      </c>
      <c r="S2" s="24" t="s">
        <v>9</v>
      </c>
      <c r="T2" s="24" t="s">
        <v>10</v>
      </c>
      <c r="U2" s="24" t="s">
        <v>11</v>
      </c>
      <c r="V2" s="24" t="s">
        <v>9</v>
      </c>
      <c r="W2" s="24" t="s">
        <v>10</v>
      </c>
      <c r="X2" s="24" t="s">
        <v>11</v>
      </c>
      <c r="Y2" s="24" t="s">
        <v>9</v>
      </c>
      <c r="Z2" s="24" t="s">
        <v>10</v>
      </c>
      <c r="AA2" s="24" t="s">
        <v>11</v>
      </c>
      <c r="AB2" s="634"/>
      <c r="AC2" s="31" t="s">
        <v>122</v>
      </c>
      <c r="AD2" s="664" t="s">
        <v>962</v>
      </c>
    </row>
    <row r="3" spans="1:30" ht="57" customHeight="1" x14ac:dyDescent="0.3">
      <c r="A3" s="32" t="s">
        <v>227</v>
      </c>
      <c r="B3" s="32" t="s">
        <v>228</v>
      </c>
      <c r="C3" s="38" t="s">
        <v>229</v>
      </c>
      <c r="D3" s="39" t="s">
        <v>124</v>
      </c>
      <c r="E3" s="39" t="s">
        <v>230</v>
      </c>
      <c r="F3" s="73">
        <v>15</v>
      </c>
      <c r="G3" s="73">
        <v>15</v>
      </c>
      <c r="H3" s="73">
        <v>15</v>
      </c>
      <c r="I3" s="73">
        <v>15</v>
      </c>
      <c r="J3" s="72">
        <v>60</v>
      </c>
      <c r="K3" s="73">
        <v>15</v>
      </c>
      <c r="L3" s="59">
        <v>25</v>
      </c>
      <c r="M3" s="59">
        <v>20</v>
      </c>
      <c r="N3" s="59"/>
      <c r="O3" s="59">
        <f>K3+L3+M3+N3</f>
        <v>60</v>
      </c>
      <c r="P3" s="59">
        <v>15</v>
      </c>
      <c r="Q3" s="35">
        <v>15</v>
      </c>
      <c r="R3" s="71">
        <f>P3/Q3*25</f>
        <v>25</v>
      </c>
      <c r="S3" s="59">
        <v>25</v>
      </c>
      <c r="T3" s="59">
        <v>15</v>
      </c>
      <c r="U3" s="118">
        <f>(S3/T3)*25</f>
        <v>41.666666666666671</v>
      </c>
      <c r="V3" s="59">
        <v>20</v>
      </c>
      <c r="W3" s="59">
        <v>15</v>
      </c>
      <c r="X3" s="118">
        <f>(V3/W3)*25</f>
        <v>33.333333333333329</v>
      </c>
      <c r="Y3" s="59"/>
      <c r="Z3" s="59"/>
      <c r="AA3" s="59"/>
      <c r="AB3" s="111">
        <f>AA3+U3+R3+X3</f>
        <v>100</v>
      </c>
      <c r="AC3" s="32" t="s">
        <v>264</v>
      </c>
      <c r="AD3" s="665" t="s">
        <v>264</v>
      </c>
    </row>
    <row r="4" spans="1:30" ht="52.2" customHeight="1" x14ac:dyDescent="0.3">
      <c r="A4" s="33" t="s">
        <v>227</v>
      </c>
      <c r="B4" s="33" t="s">
        <v>228</v>
      </c>
      <c r="C4" s="33" t="s">
        <v>231</v>
      </c>
      <c r="D4" s="33" t="s">
        <v>232</v>
      </c>
      <c r="E4" s="33" t="s">
        <v>233</v>
      </c>
      <c r="F4" s="73">
        <v>0</v>
      </c>
      <c r="G4" s="73">
        <v>20</v>
      </c>
      <c r="H4" s="73">
        <v>20</v>
      </c>
      <c r="I4" s="73">
        <v>10</v>
      </c>
      <c r="J4" s="73">
        <v>50</v>
      </c>
      <c r="K4" s="73">
        <v>0</v>
      </c>
      <c r="L4" s="59">
        <v>11</v>
      </c>
      <c r="M4" s="59">
        <v>14</v>
      </c>
      <c r="N4" s="59"/>
      <c r="O4" s="59">
        <f>K4+L4+M4+N4</f>
        <v>25</v>
      </c>
      <c r="P4" s="59">
        <v>0</v>
      </c>
      <c r="Q4" s="36">
        <v>0</v>
      </c>
      <c r="R4" s="71">
        <v>25</v>
      </c>
      <c r="S4" s="59">
        <v>11</v>
      </c>
      <c r="T4" s="59">
        <v>20</v>
      </c>
      <c r="U4" s="121">
        <f>(S4/T4)*25</f>
        <v>13.750000000000002</v>
      </c>
      <c r="V4" s="59">
        <v>14</v>
      </c>
      <c r="W4" s="59">
        <v>20</v>
      </c>
      <c r="X4" s="222">
        <f t="shared" ref="X4:X16" si="0">(V4/W4)*25</f>
        <v>17.5</v>
      </c>
      <c r="Y4" s="59"/>
      <c r="Z4" s="59"/>
      <c r="AA4" s="59"/>
      <c r="AB4" s="121">
        <f>R4+U4+X4+AD4+AA4</f>
        <v>56.25</v>
      </c>
      <c r="AC4" s="33"/>
    </row>
    <row r="5" spans="1:30" ht="55.8" customHeight="1" x14ac:dyDescent="0.3">
      <c r="A5" s="32" t="s">
        <v>227</v>
      </c>
      <c r="B5" s="32" t="s">
        <v>228</v>
      </c>
      <c r="C5" s="32" t="s">
        <v>234</v>
      </c>
      <c r="D5" s="32" t="s">
        <v>235</v>
      </c>
      <c r="E5" s="32" t="s">
        <v>236</v>
      </c>
      <c r="F5" s="73">
        <v>3</v>
      </c>
      <c r="G5" s="73">
        <v>3</v>
      </c>
      <c r="H5" s="73">
        <v>3</v>
      </c>
      <c r="I5" s="73">
        <v>3</v>
      </c>
      <c r="J5" s="72">
        <v>12</v>
      </c>
      <c r="K5" s="73">
        <v>3</v>
      </c>
      <c r="L5" s="59">
        <v>3</v>
      </c>
      <c r="M5" s="59">
        <v>3</v>
      </c>
      <c r="N5" s="59"/>
      <c r="O5" s="59">
        <f t="shared" ref="O5:O8" si="1">K5+L5+M5+N5</f>
        <v>9</v>
      </c>
      <c r="P5" s="59">
        <v>3</v>
      </c>
      <c r="Q5" s="35">
        <v>3</v>
      </c>
      <c r="R5" s="71">
        <f t="shared" ref="R5:R16" si="2">P5/Q5*25</f>
        <v>25</v>
      </c>
      <c r="S5" s="59">
        <v>3</v>
      </c>
      <c r="T5" s="59">
        <v>3</v>
      </c>
      <c r="U5" s="51">
        <v>25</v>
      </c>
      <c r="V5" s="59">
        <v>3</v>
      </c>
      <c r="W5" s="59">
        <v>3</v>
      </c>
      <c r="X5" s="223">
        <f t="shared" si="0"/>
        <v>25</v>
      </c>
      <c r="Y5" s="59"/>
      <c r="Z5" s="59"/>
      <c r="AA5" s="59"/>
      <c r="AB5" s="126">
        <f>R5+U5+X5+AA5</f>
        <v>75</v>
      </c>
      <c r="AC5" s="32" t="s">
        <v>265</v>
      </c>
      <c r="AD5" s="666" t="s">
        <v>265</v>
      </c>
    </row>
    <row r="6" spans="1:30" ht="112.2" customHeight="1" x14ac:dyDescent="0.3">
      <c r="A6" s="32" t="s">
        <v>227</v>
      </c>
      <c r="B6" s="32" t="s">
        <v>228</v>
      </c>
      <c r="C6" s="34" t="s">
        <v>237</v>
      </c>
      <c r="D6" s="34" t="s">
        <v>238</v>
      </c>
      <c r="E6" s="34" t="s">
        <v>239</v>
      </c>
      <c r="F6" s="73">
        <v>1</v>
      </c>
      <c r="G6" s="73">
        <v>1</v>
      </c>
      <c r="H6" s="73">
        <v>1</v>
      </c>
      <c r="I6" s="73">
        <v>1</v>
      </c>
      <c r="J6" s="72">
        <v>4</v>
      </c>
      <c r="K6" s="73">
        <v>1</v>
      </c>
      <c r="L6" s="59">
        <v>0</v>
      </c>
      <c r="M6" s="59">
        <v>0</v>
      </c>
      <c r="N6" s="59"/>
      <c r="O6" s="59">
        <f t="shared" si="1"/>
        <v>1</v>
      </c>
      <c r="P6" s="59">
        <v>1</v>
      </c>
      <c r="Q6" s="35">
        <v>1</v>
      </c>
      <c r="R6" s="71">
        <f t="shared" si="2"/>
        <v>25</v>
      </c>
      <c r="S6" s="59">
        <v>0</v>
      </c>
      <c r="T6" s="59">
        <v>1</v>
      </c>
      <c r="U6" s="50">
        <v>0</v>
      </c>
      <c r="V6" s="59">
        <v>1</v>
      </c>
      <c r="W6" s="59">
        <v>0</v>
      </c>
      <c r="X6" s="224">
        <v>0</v>
      </c>
      <c r="Y6" s="59"/>
      <c r="Z6" s="59"/>
      <c r="AA6" s="59"/>
      <c r="AB6" s="121">
        <f t="shared" ref="AB5:AB16" si="3">R6+U6+X6+AD6+AA6</f>
        <v>25</v>
      </c>
      <c r="AC6" s="32"/>
    </row>
    <row r="7" spans="1:30" ht="111" customHeight="1" x14ac:dyDescent="0.3">
      <c r="A7" s="32" t="s">
        <v>227</v>
      </c>
      <c r="B7" s="32" t="s">
        <v>228</v>
      </c>
      <c r="C7" s="34" t="s">
        <v>240</v>
      </c>
      <c r="D7" s="34" t="s">
        <v>241</v>
      </c>
      <c r="E7" s="34" t="s">
        <v>242</v>
      </c>
      <c r="F7" s="73">
        <v>0</v>
      </c>
      <c r="G7" s="73">
        <v>3666</v>
      </c>
      <c r="H7" s="73">
        <v>3666</v>
      </c>
      <c r="I7" s="73">
        <v>3666</v>
      </c>
      <c r="J7" s="72">
        <v>11000</v>
      </c>
      <c r="K7" s="73">
        <v>0</v>
      </c>
      <c r="L7" s="59">
        <v>3666</v>
      </c>
      <c r="M7" s="59">
        <v>12277</v>
      </c>
      <c r="N7" s="59"/>
      <c r="O7" s="59">
        <f>K7+L7+M7+N7</f>
        <v>15943</v>
      </c>
      <c r="P7" s="59">
        <v>0</v>
      </c>
      <c r="Q7" s="35">
        <v>0</v>
      </c>
      <c r="R7" s="71">
        <v>25</v>
      </c>
      <c r="S7" s="59">
        <v>3666</v>
      </c>
      <c r="T7" s="59">
        <v>3666</v>
      </c>
      <c r="U7" s="51">
        <v>25</v>
      </c>
      <c r="V7" s="59">
        <v>12277</v>
      </c>
      <c r="W7" s="59">
        <v>3666</v>
      </c>
      <c r="X7" s="118">
        <f t="shared" si="0"/>
        <v>83.722040370976529</v>
      </c>
      <c r="Y7" s="59"/>
      <c r="Z7" s="59"/>
      <c r="AA7" s="59"/>
      <c r="AB7" s="111">
        <f t="shared" si="3"/>
        <v>133.72204037097652</v>
      </c>
      <c r="AC7" s="32"/>
    </row>
    <row r="8" spans="1:30" ht="114" customHeight="1" x14ac:dyDescent="0.3">
      <c r="A8" s="32" t="s">
        <v>227</v>
      </c>
      <c r="B8" s="32" t="s">
        <v>228</v>
      </c>
      <c r="C8" s="34" t="s">
        <v>243</v>
      </c>
      <c r="D8" s="34" t="s">
        <v>244</v>
      </c>
      <c r="E8" s="34" t="s">
        <v>245</v>
      </c>
      <c r="F8" s="73">
        <v>1</v>
      </c>
      <c r="G8" s="73">
        <v>1</v>
      </c>
      <c r="H8" s="73">
        <v>2</v>
      </c>
      <c r="I8" s="73">
        <v>2</v>
      </c>
      <c r="J8" s="72">
        <v>6</v>
      </c>
      <c r="K8" s="73">
        <v>0</v>
      </c>
      <c r="L8" s="59">
        <v>1</v>
      </c>
      <c r="M8" s="59">
        <v>2</v>
      </c>
      <c r="N8" s="59"/>
      <c r="O8" s="59">
        <f t="shared" si="1"/>
        <v>3</v>
      </c>
      <c r="P8" s="59">
        <v>0</v>
      </c>
      <c r="Q8" s="35">
        <v>1</v>
      </c>
      <c r="R8" s="71">
        <f t="shared" si="2"/>
        <v>0</v>
      </c>
      <c r="S8" s="59">
        <v>1</v>
      </c>
      <c r="T8" s="59">
        <v>1</v>
      </c>
      <c r="U8" s="51">
        <v>25</v>
      </c>
      <c r="V8" s="59">
        <v>2</v>
      </c>
      <c r="W8" s="59">
        <v>2</v>
      </c>
      <c r="X8" s="223">
        <f t="shared" si="0"/>
        <v>25</v>
      </c>
      <c r="Y8" s="59"/>
      <c r="Z8" s="59"/>
      <c r="AA8" s="59"/>
      <c r="AB8" s="121">
        <f t="shared" si="3"/>
        <v>50</v>
      </c>
      <c r="AC8" s="32"/>
    </row>
    <row r="9" spans="1:30" ht="171" customHeight="1" x14ac:dyDescent="0.3">
      <c r="A9" s="32" t="s">
        <v>227</v>
      </c>
      <c r="B9" s="32" t="s">
        <v>228</v>
      </c>
      <c r="C9" s="34" t="s">
        <v>246</v>
      </c>
      <c r="D9" s="34" t="s">
        <v>213</v>
      </c>
      <c r="E9" s="34" t="s">
        <v>247</v>
      </c>
      <c r="F9" s="73">
        <v>4</v>
      </c>
      <c r="G9" s="73">
        <v>65</v>
      </c>
      <c r="H9" s="73">
        <v>70</v>
      </c>
      <c r="I9" s="73">
        <v>61</v>
      </c>
      <c r="J9" s="72">
        <f>F9+H9+G9+I9</f>
        <v>200</v>
      </c>
      <c r="K9" s="73">
        <v>4</v>
      </c>
      <c r="L9" s="59">
        <v>76</v>
      </c>
      <c r="M9" s="59">
        <v>91</v>
      </c>
      <c r="N9" s="59"/>
      <c r="O9" s="59">
        <f>K9+L9+M9+N9</f>
        <v>171</v>
      </c>
      <c r="P9" s="59">
        <v>4</v>
      </c>
      <c r="Q9" s="35">
        <v>4</v>
      </c>
      <c r="R9" s="71">
        <f t="shared" si="2"/>
        <v>25</v>
      </c>
      <c r="S9" s="59">
        <v>76</v>
      </c>
      <c r="T9" s="59">
        <v>65</v>
      </c>
      <c r="U9" s="111">
        <f>(S9/T9)*25</f>
        <v>29.230769230769234</v>
      </c>
      <c r="V9" s="59">
        <v>91</v>
      </c>
      <c r="W9" s="59">
        <v>70</v>
      </c>
      <c r="X9" s="118">
        <f t="shared" si="0"/>
        <v>32.5</v>
      </c>
      <c r="Y9" s="59"/>
      <c r="Z9" s="59"/>
      <c r="AA9" s="59"/>
      <c r="AB9" s="126">
        <f t="shared" si="3"/>
        <v>86.730769230769226</v>
      </c>
      <c r="AC9" s="32"/>
    </row>
    <row r="10" spans="1:30" ht="147.6" customHeight="1" x14ac:dyDescent="0.3">
      <c r="A10" s="32" t="s">
        <v>227</v>
      </c>
      <c r="B10" s="32" t="s">
        <v>228</v>
      </c>
      <c r="C10" s="34" t="s">
        <v>248</v>
      </c>
      <c r="D10" s="34" t="s">
        <v>249</v>
      </c>
      <c r="E10" s="34" t="s">
        <v>250</v>
      </c>
      <c r="F10" s="73">
        <v>0</v>
      </c>
      <c r="G10" s="73">
        <v>0</v>
      </c>
      <c r="H10" s="73">
        <v>1</v>
      </c>
      <c r="I10" s="73">
        <v>0</v>
      </c>
      <c r="J10" s="72">
        <v>1</v>
      </c>
      <c r="K10" s="73">
        <v>0</v>
      </c>
      <c r="L10" s="59">
        <v>0</v>
      </c>
      <c r="M10" s="59">
        <v>0</v>
      </c>
      <c r="N10" s="59"/>
      <c r="O10" s="59">
        <f t="shared" ref="O10:O16" si="4">K10+L10+M10+N10</f>
        <v>0</v>
      </c>
      <c r="P10" s="59">
        <v>0</v>
      </c>
      <c r="Q10" s="35">
        <v>0</v>
      </c>
      <c r="R10" s="71">
        <v>25</v>
      </c>
      <c r="S10" s="59">
        <v>0</v>
      </c>
      <c r="T10" s="59">
        <v>0</v>
      </c>
      <c r="U10" s="51">
        <v>25</v>
      </c>
      <c r="V10" s="59">
        <v>0</v>
      </c>
      <c r="W10" s="59">
        <v>1</v>
      </c>
      <c r="X10" s="224">
        <f t="shared" si="0"/>
        <v>0</v>
      </c>
      <c r="Y10" s="59"/>
      <c r="Z10" s="59"/>
      <c r="AA10" s="59"/>
      <c r="AB10" s="121">
        <f t="shared" si="3"/>
        <v>50</v>
      </c>
      <c r="AC10" s="32"/>
    </row>
    <row r="11" spans="1:30" ht="163.19999999999999" customHeight="1" x14ac:dyDescent="0.3">
      <c r="A11" s="32" t="s">
        <v>227</v>
      </c>
      <c r="B11" s="32" t="s">
        <v>228</v>
      </c>
      <c r="C11" s="34" t="s">
        <v>251</v>
      </c>
      <c r="D11" s="34" t="s">
        <v>213</v>
      </c>
      <c r="E11" s="34" t="s">
        <v>247</v>
      </c>
      <c r="F11" s="73">
        <v>0</v>
      </c>
      <c r="G11" s="73">
        <v>126</v>
      </c>
      <c r="H11" s="73">
        <v>127</v>
      </c>
      <c r="I11" s="73">
        <v>127</v>
      </c>
      <c r="J11" s="72">
        <v>380</v>
      </c>
      <c r="K11" s="73">
        <v>0</v>
      </c>
      <c r="L11" s="59">
        <v>56</v>
      </c>
      <c r="M11" s="59">
        <v>203</v>
      </c>
      <c r="N11" s="59"/>
      <c r="O11" s="59">
        <f t="shared" si="4"/>
        <v>259</v>
      </c>
      <c r="P11" s="59">
        <v>0</v>
      </c>
      <c r="Q11" s="75">
        <v>0</v>
      </c>
      <c r="R11" s="71">
        <v>25</v>
      </c>
      <c r="S11" s="59">
        <v>56</v>
      </c>
      <c r="T11" s="59">
        <v>126</v>
      </c>
      <c r="U11" s="121">
        <f>(S11/T11)*25</f>
        <v>11.111111111111111</v>
      </c>
      <c r="V11" s="59">
        <v>203</v>
      </c>
      <c r="W11" s="59">
        <v>127</v>
      </c>
      <c r="X11" s="118">
        <f t="shared" si="0"/>
        <v>39.960629921259844</v>
      </c>
      <c r="Y11" s="59"/>
      <c r="Z11" s="59"/>
      <c r="AA11" s="59"/>
      <c r="AB11" s="126">
        <f t="shared" si="3"/>
        <v>76.071741032370966</v>
      </c>
      <c r="AC11" s="32"/>
    </row>
    <row r="12" spans="1:30" ht="101.4" customHeight="1" x14ac:dyDescent="0.3">
      <c r="A12" s="32" t="s">
        <v>227</v>
      </c>
      <c r="B12" s="32" t="s">
        <v>228</v>
      </c>
      <c r="C12" s="34" t="s">
        <v>252</v>
      </c>
      <c r="D12" s="34" t="s">
        <v>253</v>
      </c>
      <c r="E12" s="34" t="s">
        <v>254</v>
      </c>
      <c r="F12" s="73">
        <v>25</v>
      </c>
      <c r="G12" s="73">
        <v>25</v>
      </c>
      <c r="H12" s="73">
        <v>25</v>
      </c>
      <c r="I12" s="73">
        <v>25</v>
      </c>
      <c r="J12" s="74">
        <v>100</v>
      </c>
      <c r="K12" s="225">
        <v>47</v>
      </c>
      <c r="L12" s="226">
        <v>167</v>
      </c>
      <c r="M12" s="59">
        <v>169</v>
      </c>
      <c r="N12" s="59"/>
      <c r="O12" s="59">
        <f t="shared" si="4"/>
        <v>383</v>
      </c>
      <c r="P12" s="59">
        <v>25</v>
      </c>
      <c r="Q12" s="37">
        <v>25</v>
      </c>
      <c r="R12" s="76">
        <f t="shared" si="2"/>
        <v>25</v>
      </c>
      <c r="S12" s="59">
        <v>25</v>
      </c>
      <c r="T12" s="59">
        <v>25</v>
      </c>
      <c r="U12" s="51">
        <v>25</v>
      </c>
      <c r="V12" s="59">
        <v>169</v>
      </c>
      <c r="W12" s="59">
        <v>125</v>
      </c>
      <c r="X12" s="118">
        <f t="shared" si="0"/>
        <v>33.800000000000004</v>
      </c>
      <c r="Y12" s="59"/>
      <c r="Z12" s="59"/>
      <c r="AA12" s="59"/>
      <c r="AB12" s="126">
        <f t="shared" si="3"/>
        <v>83.800000000000011</v>
      </c>
      <c r="AC12" s="32"/>
    </row>
    <row r="13" spans="1:30" ht="52.8" customHeight="1" x14ac:dyDescent="0.3">
      <c r="A13" s="32" t="s">
        <v>227</v>
      </c>
      <c r="B13" s="32" t="s">
        <v>228</v>
      </c>
      <c r="C13" s="34" t="s">
        <v>255</v>
      </c>
      <c r="D13" s="34" t="s">
        <v>256</v>
      </c>
      <c r="E13" s="34" t="s">
        <v>257</v>
      </c>
      <c r="F13" s="73">
        <v>2500</v>
      </c>
      <c r="G13" s="73">
        <v>2500</v>
      </c>
      <c r="H13" s="73">
        <v>2500</v>
      </c>
      <c r="I13" s="73">
        <v>2500</v>
      </c>
      <c r="J13" s="72">
        <v>10000</v>
      </c>
      <c r="K13" s="73">
        <v>4545</v>
      </c>
      <c r="L13" s="59">
        <v>1218</v>
      </c>
      <c r="M13" s="59">
        <v>2725</v>
      </c>
      <c r="N13" s="59"/>
      <c r="O13" s="59">
        <f t="shared" si="4"/>
        <v>8488</v>
      </c>
      <c r="P13" s="59">
        <v>4545</v>
      </c>
      <c r="Q13" s="35">
        <v>2500</v>
      </c>
      <c r="R13" s="71">
        <f t="shared" si="2"/>
        <v>45.45</v>
      </c>
      <c r="S13" s="59">
        <v>1218</v>
      </c>
      <c r="T13" s="59">
        <v>2500</v>
      </c>
      <c r="U13" s="121">
        <f>(S13/T13)*25</f>
        <v>12.18</v>
      </c>
      <c r="V13" s="59">
        <v>2725</v>
      </c>
      <c r="W13" s="59">
        <v>2500</v>
      </c>
      <c r="X13" s="118">
        <f t="shared" si="0"/>
        <v>27.250000000000004</v>
      </c>
      <c r="Y13" s="59"/>
      <c r="Z13" s="59"/>
      <c r="AA13" s="59"/>
      <c r="AB13" s="126">
        <f t="shared" si="3"/>
        <v>84.88000000000001</v>
      </c>
      <c r="AC13" s="32"/>
    </row>
    <row r="14" spans="1:30" ht="96.6" customHeight="1" x14ac:dyDescent="0.3">
      <c r="A14" s="32"/>
      <c r="B14" s="32"/>
      <c r="C14" s="34" t="s">
        <v>796</v>
      </c>
      <c r="D14" s="34" t="s">
        <v>797</v>
      </c>
      <c r="E14" s="34" t="s">
        <v>798</v>
      </c>
      <c r="F14" s="73">
        <v>3</v>
      </c>
      <c r="G14" s="73">
        <v>3</v>
      </c>
      <c r="H14" s="73">
        <v>3</v>
      </c>
      <c r="I14" s="73">
        <v>3</v>
      </c>
      <c r="J14" s="72">
        <v>12</v>
      </c>
      <c r="K14" s="73">
        <v>3</v>
      </c>
      <c r="L14" s="59">
        <v>3</v>
      </c>
      <c r="M14" s="59">
        <v>3</v>
      </c>
      <c r="N14" s="59"/>
      <c r="O14" s="59">
        <f t="shared" si="4"/>
        <v>9</v>
      </c>
      <c r="P14" s="59">
        <v>3</v>
      </c>
      <c r="Q14" s="110">
        <v>3</v>
      </c>
      <c r="R14" s="71">
        <v>25</v>
      </c>
      <c r="S14" s="59">
        <v>3</v>
      </c>
      <c r="T14" s="59">
        <v>3</v>
      </c>
      <c r="U14" s="51">
        <v>25</v>
      </c>
      <c r="V14" s="59">
        <v>3</v>
      </c>
      <c r="W14" s="59">
        <v>3</v>
      </c>
      <c r="X14" s="223">
        <f t="shared" si="0"/>
        <v>25</v>
      </c>
      <c r="Y14" s="59"/>
      <c r="Z14" s="59"/>
      <c r="AA14" s="59"/>
      <c r="AB14" s="126">
        <f t="shared" si="3"/>
        <v>75</v>
      </c>
      <c r="AC14" s="32"/>
    </row>
    <row r="15" spans="1:30" ht="147.6" customHeight="1" x14ac:dyDescent="0.3">
      <c r="A15" s="32" t="s">
        <v>227</v>
      </c>
      <c r="B15" s="32" t="s">
        <v>228</v>
      </c>
      <c r="C15" s="34" t="s">
        <v>258</v>
      </c>
      <c r="D15" s="34" t="s">
        <v>259</v>
      </c>
      <c r="E15" s="34" t="s">
        <v>260</v>
      </c>
      <c r="F15" s="73">
        <v>2500</v>
      </c>
      <c r="G15" s="73">
        <v>2500</v>
      </c>
      <c r="H15" s="73">
        <v>2500</v>
      </c>
      <c r="I15" s="73">
        <v>2500</v>
      </c>
      <c r="J15" s="72">
        <v>10000</v>
      </c>
      <c r="K15" s="73">
        <v>1034</v>
      </c>
      <c r="L15" s="59">
        <v>1305</v>
      </c>
      <c r="M15" s="59">
        <v>3614</v>
      </c>
      <c r="N15" s="59"/>
      <c r="O15" s="59">
        <f t="shared" si="4"/>
        <v>5953</v>
      </c>
      <c r="P15" s="59">
        <v>1034</v>
      </c>
      <c r="Q15" s="35">
        <v>2500</v>
      </c>
      <c r="R15" s="77">
        <f t="shared" si="2"/>
        <v>10.34</v>
      </c>
      <c r="S15" s="59">
        <v>1305</v>
      </c>
      <c r="T15" s="59">
        <v>2500</v>
      </c>
      <c r="U15" s="50">
        <f>(S15/T15)*25</f>
        <v>13.05</v>
      </c>
      <c r="V15" s="59">
        <v>3614</v>
      </c>
      <c r="W15" s="59">
        <v>2500</v>
      </c>
      <c r="X15" s="118">
        <f t="shared" si="0"/>
        <v>36.14</v>
      </c>
      <c r="Y15" s="59"/>
      <c r="Z15" s="59"/>
      <c r="AA15" s="59"/>
      <c r="AB15" s="121">
        <f t="shared" si="3"/>
        <v>59.53</v>
      </c>
      <c r="AC15" s="32"/>
    </row>
    <row r="16" spans="1:30" ht="141.6" customHeight="1" x14ac:dyDescent="0.3">
      <c r="A16" s="32" t="s">
        <v>227</v>
      </c>
      <c r="B16" s="32" t="s">
        <v>228</v>
      </c>
      <c r="C16" s="34" t="s">
        <v>261</v>
      </c>
      <c r="D16" s="34" t="s">
        <v>262</v>
      </c>
      <c r="E16" s="34" t="s">
        <v>263</v>
      </c>
      <c r="F16" s="73">
        <v>57</v>
      </c>
      <c r="G16" s="73">
        <v>57</v>
      </c>
      <c r="H16" s="73">
        <v>58</v>
      </c>
      <c r="I16" s="73">
        <v>58</v>
      </c>
      <c r="J16" s="73">
        <v>230</v>
      </c>
      <c r="K16" s="225">
        <v>152</v>
      </c>
      <c r="L16" s="226">
        <v>182</v>
      </c>
      <c r="M16" s="59">
        <v>202</v>
      </c>
      <c r="N16" s="59"/>
      <c r="O16" s="59">
        <f t="shared" si="4"/>
        <v>536</v>
      </c>
      <c r="P16" s="59">
        <v>152</v>
      </c>
      <c r="Q16" s="36">
        <v>57</v>
      </c>
      <c r="R16" s="227">
        <f t="shared" si="2"/>
        <v>66.666666666666657</v>
      </c>
      <c r="S16" s="59">
        <v>182</v>
      </c>
      <c r="T16" s="59">
        <v>57</v>
      </c>
      <c r="U16" s="111">
        <f>(S16/T16)*25</f>
        <v>79.824561403508781</v>
      </c>
      <c r="V16" s="59">
        <v>202</v>
      </c>
      <c r="W16" s="59">
        <v>58</v>
      </c>
      <c r="X16" s="118">
        <f t="shared" si="0"/>
        <v>87.068965517241381</v>
      </c>
      <c r="Y16" s="59"/>
      <c r="Z16" s="59"/>
      <c r="AA16" s="59"/>
      <c r="AB16" s="111">
        <f t="shared" si="3"/>
        <v>233.56019358741685</v>
      </c>
      <c r="AC16" s="32"/>
    </row>
    <row r="17" spans="3:17" x14ac:dyDescent="0.3">
      <c r="J17">
        <f>SUM(J3:J16)</f>
        <v>32055</v>
      </c>
    </row>
    <row r="18" spans="3:17" ht="27.6" x14ac:dyDescent="0.3">
      <c r="C18" s="12" t="s">
        <v>121</v>
      </c>
      <c r="D18" s="3"/>
      <c r="E18" s="15" t="s">
        <v>120</v>
      </c>
      <c r="G18" s="579" t="s">
        <v>116</v>
      </c>
      <c r="H18" s="579"/>
      <c r="I18" s="579"/>
      <c r="K18" s="579" t="s">
        <v>795</v>
      </c>
      <c r="L18" s="579"/>
      <c r="M18" s="579"/>
      <c r="O18" s="579" t="s">
        <v>986</v>
      </c>
      <c r="P18" s="579"/>
      <c r="Q18" s="579"/>
    </row>
    <row r="19" spans="3:17" ht="41.4" x14ac:dyDescent="0.3">
      <c r="C19" s="16" t="s">
        <v>64</v>
      </c>
      <c r="D19" s="7"/>
      <c r="E19" s="13" t="s">
        <v>117</v>
      </c>
      <c r="G19" s="8" t="s">
        <v>113</v>
      </c>
      <c r="H19" s="12">
        <v>5</v>
      </c>
      <c r="I19" s="122">
        <f>3/14*100</f>
        <v>21.428571428571427</v>
      </c>
      <c r="K19" s="8" t="s">
        <v>113</v>
      </c>
      <c r="L19" s="100">
        <v>5</v>
      </c>
      <c r="M19" s="88">
        <f>5/14*100</f>
        <v>35.714285714285715</v>
      </c>
      <c r="O19" s="8" t="s">
        <v>113</v>
      </c>
      <c r="P19" s="494">
        <v>2</v>
      </c>
      <c r="Q19" s="88">
        <f>P19/14*100</f>
        <v>14.285714285714285</v>
      </c>
    </row>
    <row r="20" spans="3:17" ht="41.4" x14ac:dyDescent="0.3">
      <c r="C20" s="9" t="s">
        <v>65</v>
      </c>
      <c r="D20" s="7"/>
      <c r="E20" s="10" t="s">
        <v>118</v>
      </c>
      <c r="G20" s="8" t="s">
        <v>114</v>
      </c>
      <c r="H20" s="12">
        <v>3</v>
      </c>
      <c r="I20" s="123">
        <f>10/14*100</f>
        <v>71.428571428571431</v>
      </c>
      <c r="K20" s="8" t="s">
        <v>114</v>
      </c>
      <c r="L20" s="100">
        <v>9</v>
      </c>
      <c r="M20" s="89">
        <f>9/14*100</f>
        <v>64.285714285714292</v>
      </c>
      <c r="O20" s="8" t="s">
        <v>114</v>
      </c>
      <c r="P20" s="494">
        <v>11</v>
      </c>
      <c r="Q20" s="123">
        <f>P20/14*100</f>
        <v>78.571428571428569</v>
      </c>
    </row>
    <row r="21" spans="3:17" ht="41.4" x14ac:dyDescent="0.3">
      <c r="C21" s="17" t="s">
        <v>66</v>
      </c>
      <c r="D21" s="7"/>
      <c r="E21" s="14" t="s">
        <v>119</v>
      </c>
      <c r="G21" s="8" t="s">
        <v>691</v>
      </c>
      <c r="H21" s="100">
        <v>6</v>
      </c>
      <c r="I21" s="125">
        <f>1/14*100</f>
        <v>7.1428571428571423</v>
      </c>
      <c r="M21" s="699"/>
      <c r="O21" s="8" t="s">
        <v>691</v>
      </c>
      <c r="P21" s="494">
        <v>1</v>
      </c>
      <c r="Q21" s="124">
        <f>P21/14*100</f>
        <v>7.1428571428571423</v>
      </c>
    </row>
  </sheetData>
  <protectedRanges>
    <protectedRange sqref="A3:A16" name="Rango1"/>
    <protectedRange sqref="B3:B16" name="Rango1_1"/>
  </protectedRanges>
  <mergeCells count="14">
    <mergeCell ref="O18:Q18"/>
    <mergeCell ref="K1:N1"/>
    <mergeCell ref="G18:I18"/>
    <mergeCell ref="A1:A2"/>
    <mergeCell ref="B1:B2"/>
    <mergeCell ref="C1:C2"/>
    <mergeCell ref="D1:E1"/>
    <mergeCell ref="F1:J1"/>
    <mergeCell ref="K18:M18"/>
    <mergeCell ref="P1:R1"/>
    <mergeCell ref="S1:U1"/>
    <mergeCell ref="V1:X1"/>
    <mergeCell ref="Y1:AA1"/>
    <mergeCell ref="AB1:AB2"/>
  </mergeCells>
  <dataValidations count="2">
    <dataValidation type="list" operator="greaterThanOrEqual" allowBlank="1" showInputMessage="1" showErrorMessage="1" sqref="A3:A16" xr:uid="{00000000-0002-0000-0500-000000000000}">
      <formula1>DIME</formula1>
    </dataValidation>
    <dataValidation operator="greaterThanOrEqual" allowBlank="1" showInputMessage="1" showErrorMessage="1" sqref="B3:B16" xr:uid="{00000000-0002-0000-0500-000001000000}"/>
  </dataValidation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42"/>
  <sheetViews>
    <sheetView topLeftCell="I34" zoomScale="79" zoomScaleNormal="79" workbookViewId="0">
      <selection activeCell="Y60" sqref="Y60"/>
    </sheetView>
  </sheetViews>
  <sheetFormatPr baseColWidth="10" defaultRowHeight="12" x14ac:dyDescent="0.3"/>
  <cols>
    <col min="1" max="1" width="15.109375" style="428" customWidth="1"/>
    <col min="2" max="2" width="26.44140625" style="428" customWidth="1"/>
    <col min="3" max="3" width="19.6640625" style="428" customWidth="1"/>
    <col min="4" max="4" width="22" style="428" customWidth="1"/>
    <col min="5" max="27" width="11.5546875" style="428"/>
    <col min="28" max="28" width="11.5546875" style="671"/>
    <col min="29" max="29" width="23.77734375" style="495" customWidth="1"/>
    <col min="30" max="16384" width="11.5546875" style="428"/>
  </cols>
  <sheetData>
    <row r="1" spans="1:29" x14ac:dyDescent="0.3">
      <c r="A1" s="646" t="s">
        <v>1</v>
      </c>
      <c r="B1" s="646" t="s">
        <v>2</v>
      </c>
      <c r="C1" s="643" t="s">
        <v>3</v>
      </c>
      <c r="D1" s="643"/>
      <c r="E1" s="645" t="s">
        <v>5</v>
      </c>
      <c r="F1" s="645"/>
      <c r="G1" s="645"/>
      <c r="H1" s="645"/>
      <c r="I1" s="645"/>
      <c r="J1" s="644" t="s">
        <v>6</v>
      </c>
      <c r="K1" s="644"/>
      <c r="L1" s="644"/>
      <c r="M1" s="644"/>
      <c r="N1" s="165"/>
      <c r="O1" s="643" t="s">
        <v>56</v>
      </c>
      <c r="P1" s="643"/>
      <c r="Q1" s="643"/>
      <c r="R1" s="643" t="s">
        <v>57</v>
      </c>
      <c r="S1" s="643"/>
      <c r="T1" s="643"/>
      <c r="U1" s="643" t="s">
        <v>58</v>
      </c>
      <c r="V1" s="643"/>
      <c r="W1" s="643"/>
      <c r="X1" s="643" t="s">
        <v>59</v>
      </c>
      <c r="Y1" s="643"/>
      <c r="Z1" s="643"/>
      <c r="AA1" s="644" t="s">
        <v>60</v>
      </c>
    </row>
    <row r="2" spans="1:29" x14ac:dyDescent="0.3">
      <c r="A2" s="646"/>
      <c r="B2" s="646"/>
      <c r="C2" s="160" t="s">
        <v>7</v>
      </c>
      <c r="D2" s="160" t="s">
        <v>8</v>
      </c>
      <c r="E2" s="166" t="s">
        <v>13</v>
      </c>
      <c r="F2" s="166" t="s">
        <v>15</v>
      </c>
      <c r="G2" s="166" t="s">
        <v>17</v>
      </c>
      <c r="H2" s="166" t="s">
        <v>18</v>
      </c>
      <c r="I2" s="168" t="s">
        <v>55</v>
      </c>
      <c r="J2" s="169" t="s">
        <v>13</v>
      </c>
      <c r="K2" s="165" t="s">
        <v>15</v>
      </c>
      <c r="L2" s="165" t="s">
        <v>17</v>
      </c>
      <c r="M2" s="165" t="s">
        <v>18</v>
      </c>
      <c r="N2" s="165" t="s">
        <v>61</v>
      </c>
      <c r="O2" s="160" t="s">
        <v>9</v>
      </c>
      <c r="P2" s="160" t="s">
        <v>10</v>
      </c>
      <c r="Q2" s="160" t="s">
        <v>11</v>
      </c>
      <c r="R2" s="160" t="s">
        <v>9</v>
      </c>
      <c r="S2" s="160" t="s">
        <v>10</v>
      </c>
      <c r="T2" s="160" t="s">
        <v>11</v>
      </c>
      <c r="U2" s="160" t="s">
        <v>9</v>
      </c>
      <c r="V2" s="160" t="s">
        <v>10</v>
      </c>
      <c r="W2" s="160" t="s">
        <v>11</v>
      </c>
      <c r="X2" s="160" t="s">
        <v>9</v>
      </c>
      <c r="Y2" s="160" t="s">
        <v>10</v>
      </c>
      <c r="Z2" s="160" t="s">
        <v>11</v>
      </c>
      <c r="AA2" s="644"/>
      <c r="AB2" s="672" t="s">
        <v>122</v>
      </c>
      <c r="AC2" s="673" t="s">
        <v>905</v>
      </c>
    </row>
    <row r="3" spans="1:29" ht="48" x14ac:dyDescent="0.3">
      <c r="A3" s="642" t="s">
        <v>266</v>
      </c>
      <c r="B3" s="424" t="s">
        <v>267</v>
      </c>
      <c r="C3" s="424" t="s">
        <v>268</v>
      </c>
      <c r="D3" s="424" t="s">
        <v>269</v>
      </c>
      <c r="E3" s="429">
        <v>0</v>
      </c>
      <c r="F3" s="429">
        <v>0</v>
      </c>
      <c r="G3" s="429">
        <v>0</v>
      </c>
      <c r="H3" s="429"/>
      <c r="I3" s="429">
        <f>E3+F3+G3+H3</f>
        <v>0</v>
      </c>
      <c r="J3" s="429">
        <v>0</v>
      </c>
      <c r="K3" s="429">
        <v>0</v>
      </c>
      <c r="L3" s="429">
        <v>0</v>
      </c>
      <c r="M3" s="429"/>
      <c r="N3" s="429">
        <f>J3+K3+L3+M3</f>
        <v>0</v>
      </c>
      <c r="O3" s="429">
        <v>0</v>
      </c>
      <c r="P3" s="429">
        <v>0</v>
      </c>
      <c r="Q3" s="430">
        <v>25</v>
      </c>
      <c r="R3" s="429">
        <v>0</v>
      </c>
      <c r="S3" s="159">
        <v>0</v>
      </c>
      <c r="T3" s="164">
        <v>25</v>
      </c>
      <c r="U3" s="429">
        <v>0</v>
      </c>
      <c r="V3" s="429">
        <v>0</v>
      </c>
      <c r="W3" s="430">
        <v>25</v>
      </c>
      <c r="X3" s="429"/>
      <c r="Y3" s="429"/>
      <c r="Z3" s="429"/>
      <c r="AA3" s="430">
        <f>Z3+T3+Q3+W3</f>
        <v>75</v>
      </c>
      <c r="AB3" s="531"/>
    </row>
    <row r="4" spans="1:29" ht="48" x14ac:dyDescent="0.3">
      <c r="A4" s="642"/>
      <c r="B4" s="424" t="s">
        <v>270</v>
      </c>
      <c r="C4" s="424" t="s">
        <v>271</v>
      </c>
      <c r="D4" s="424" t="s">
        <v>272</v>
      </c>
      <c r="E4" s="429">
        <v>0</v>
      </c>
      <c r="F4" s="429">
        <v>1</v>
      </c>
      <c r="G4" s="429">
        <v>0</v>
      </c>
      <c r="H4" s="429"/>
      <c r="I4" s="429">
        <f t="shared" ref="I4:I37" si="0">E4+F4+G4+H4</f>
        <v>1</v>
      </c>
      <c r="J4" s="429">
        <v>0</v>
      </c>
      <c r="K4" s="429">
        <v>1</v>
      </c>
      <c r="L4" s="429">
        <v>0</v>
      </c>
      <c r="M4" s="429"/>
      <c r="N4" s="429">
        <f t="shared" ref="N4:N37" si="1">J4+K4+L4+M4</f>
        <v>1</v>
      </c>
      <c r="O4" s="429">
        <v>0</v>
      </c>
      <c r="P4" s="429">
        <v>0</v>
      </c>
      <c r="Q4" s="430">
        <v>25</v>
      </c>
      <c r="R4" s="429">
        <v>1</v>
      </c>
      <c r="S4" s="159">
        <v>3</v>
      </c>
      <c r="T4" s="177">
        <f>(R4/S4)*25</f>
        <v>8.3333333333333321</v>
      </c>
      <c r="U4" s="429">
        <v>0</v>
      </c>
      <c r="V4" s="429">
        <v>0</v>
      </c>
      <c r="W4" s="430">
        <v>25</v>
      </c>
      <c r="X4" s="429"/>
      <c r="Y4" s="429"/>
      <c r="Z4" s="429"/>
      <c r="AA4" s="431">
        <f t="shared" ref="AA4:AA37" si="2">Z4+T4+Q4+W4</f>
        <v>58.333333333333329</v>
      </c>
      <c r="AB4" s="531"/>
    </row>
    <row r="5" spans="1:29" ht="48" x14ac:dyDescent="0.3">
      <c r="A5" s="642"/>
      <c r="B5" s="424" t="s">
        <v>273</v>
      </c>
      <c r="C5" s="424" t="s">
        <v>268</v>
      </c>
      <c r="D5" s="424" t="s">
        <v>274</v>
      </c>
      <c r="E5" s="429">
        <v>16</v>
      </c>
      <c r="F5" s="429">
        <v>10</v>
      </c>
      <c r="G5" s="429">
        <v>17</v>
      </c>
      <c r="H5" s="429"/>
      <c r="I5" s="429">
        <f t="shared" si="0"/>
        <v>43</v>
      </c>
      <c r="J5" s="429">
        <v>16</v>
      </c>
      <c r="K5" s="429">
        <v>10</v>
      </c>
      <c r="L5" s="429">
        <v>13</v>
      </c>
      <c r="M5" s="429"/>
      <c r="N5" s="429">
        <f t="shared" si="1"/>
        <v>39</v>
      </c>
      <c r="O5" s="429">
        <v>16</v>
      </c>
      <c r="P5" s="429">
        <v>16</v>
      </c>
      <c r="Q5" s="433">
        <f>O5/P5*25</f>
        <v>25</v>
      </c>
      <c r="R5" s="429">
        <v>10</v>
      </c>
      <c r="S5" s="159">
        <v>10</v>
      </c>
      <c r="T5" s="178">
        <f t="shared" ref="T5:T37" si="3">(R5/S5)*25</f>
        <v>25</v>
      </c>
      <c r="U5" s="429">
        <v>13</v>
      </c>
      <c r="V5" s="429">
        <v>17</v>
      </c>
      <c r="W5" s="438">
        <f t="shared" ref="W5:W37" si="4">U5/V5*25</f>
        <v>19.117647058823529</v>
      </c>
      <c r="X5" s="429"/>
      <c r="Y5" s="429"/>
      <c r="Z5" s="429"/>
      <c r="AA5" s="431">
        <f t="shared" si="2"/>
        <v>69.117647058823536</v>
      </c>
      <c r="AB5" s="531"/>
    </row>
    <row r="6" spans="1:29" ht="46.2" x14ac:dyDescent="0.3">
      <c r="A6" s="642"/>
      <c r="B6" s="424" t="s">
        <v>891</v>
      </c>
      <c r="C6" s="424" t="s">
        <v>271</v>
      </c>
      <c r="D6" s="424" t="s">
        <v>272</v>
      </c>
      <c r="E6" s="429">
        <v>16</v>
      </c>
      <c r="F6" s="429">
        <v>10</v>
      </c>
      <c r="G6" s="429">
        <v>17</v>
      </c>
      <c r="H6" s="429"/>
      <c r="I6" s="429">
        <f t="shared" si="0"/>
        <v>43</v>
      </c>
      <c r="J6" s="429">
        <v>5</v>
      </c>
      <c r="K6" s="429">
        <v>15</v>
      </c>
      <c r="L6" s="429">
        <v>19</v>
      </c>
      <c r="M6" s="429"/>
      <c r="N6" s="429">
        <f t="shared" si="1"/>
        <v>39</v>
      </c>
      <c r="O6" s="429">
        <v>5</v>
      </c>
      <c r="P6" s="429">
        <v>16</v>
      </c>
      <c r="Q6" s="431">
        <f t="shared" ref="Q6:Q37" si="5">O6/P6*25</f>
        <v>7.8125</v>
      </c>
      <c r="R6" s="429">
        <v>15</v>
      </c>
      <c r="S6" s="159">
        <v>10</v>
      </c>
      <c r="T6" s="178">
        <f t="shared" si="3"/>
        <v>37.5</v>
      </c>
      <c r="U6" s="429">
        <v>19</v>
      </c>
      <c r="V6" s="429">
        <v>17</v>
      </c>
      <c r="W6" s="433">
        <f t="shared" si="4"/>
        <v>27.941176470588236</v>
      </c>
      <c r="X6" s="429"/>
      <c r="Y6" s="429"/>
      <c r="Z6" s="429"/>
      <c r="AA6" s="433">
        <f t="shared" si="2"/>
        <v>73.253676470588232</v>
      </c>
      <c r="AB6" s="531" t="s">
        <v>311</v>
      </c>
    </row>
    <row r="7" spans="1:29" ht="48" x14ac:dyDescent="0.3">
      <c r="A7" s="642"/>
      <c r="B7" s="424" t="s">
        <v>275</v>
      </c>
      <c r="C7" s="424" t="s">
        <v>531</v>
      </c>
      <c r="D7" s="424" t="s">
        <v>532</v>
      </c>
      <c r="E7" s="429">
        <v>23</v>
      </c>
      <c r="F7" s="429">
        <v>16</v>
      </c>
      <c r="G7" s="429">
        <v>23</v>
      </c>
      <c r="H7" s="429"/>
      <c r="I7" s="429">
        <f t="shared" si="0"/>
        <v>62</v>
      </c>
      <c r="J7" s="429">
        <v>23</v>
      </c>
      <c r="K7" s="429">
        <v>16</v>
      </c>
      <c r="L7" s="429">
        <v>23</v>
      </c>
      <c r="M7" s="429"/>
      <c r="N7" s="429">
        <f t="shared" si="1"/>
        <v>62</v>
      </c>
      <c r="O7" s="429">
        <v>23</v>
      </c>
      <c r="P7" s="429">
        <v>23</v>
      </c>
      <c r="Q7" s="430">
        <f t="shared" si="5"/>
        <v>25</v>
      </c>
      <c r="R7" s="429">
        <v>16</v>
      </c>
      <c r="S7" s="159">
        <v>16</v>
      </c>
      <c r="T7" s="178">
        <f t="shared" si="3"/>
        <v>25</v>
      </c>
      <c r="U7" s="429">
        <v>23</v>
      </c>
      <c r="V7" s="429">
        <v>23</v>
      </c>
      <c r="W7" s="430">
        <f t="shared" si="4"/>
        <v>25</v>
      </c>
      <c r="X7" s="429"/>
      <c r="Y7" s="429"/>
      <c r="Z7" s="429"/>
      <c r="AA7" s="430">
        <f t="shared" si="2"/>
        <v>75</v>
      </c>
      <c r="AB7" s="531"/>
    </row>
    <row r="8" spans="1:29" ht="48" x14ac:dyDescent="0.3">
      <c r="A8" s="642"/>
      <c r="B8" s="424" t="s">
        <v>276</v>
      </c>
      <c r="C8" s="424" t="s">
        <v>271</v>
      </c>
      <c r="D8" s="424" t="s">
        <v>530</v>
      </c>
      <c r="E8" s="429">
        <v>4</v>
      </c>
      <c r="F8" s="429">
        <v>5</v>
      </c>
      <c r="G8" s="429">
        <v>5</v>
      </c>
      <c r="H8" s="429"/>
      <c r="I8" s="429">
        <f t="shared" si="0"/>
        <v>14</v>
      </c>
      <c r="J8" s="429">
        <v>4</v>
      </c>
      <c r="K8" s="429">
        <v>3</v>
      </c>
      <c r="L8" s="429">
        <v>4</v>
      </c>
      <c r="M8" s="429"/>
      <c r="N8" s="429">
        <f t="shared" si="1"/>
        <v>11</v>
      </c>
      <c r="O8" s="429">
        <v>4</v>
      </c>
      <c r="P8" s="429">
        <v>4</v>
      </c>
      <c r="Q8" s="430">
        <f t="shared" si="5"/>
        <v>25</v>
      </c>
      <c r="R8" s="429">
        <v>3</v>
      </c>
      <c r="S8" s="159">
        <v>5</v>
      </c>
      <c r="T8" s="177">
        <f t="shared" si="3"/>
        <v>15</v>
      </c>
      <c r="U8" s="429">
        <v>4</v>
      </c>
      <c r="V8" s="429">
        <v>5</v>
      </c>
      <c r="W8" s="439">
        <f t="shared" si="4"/>
        <v>20</v>
      </c>
      <c r="X8" s="429"/>
      <c r="Y8" s="429"/>
      <c r="Z8" s="429"/>
      <c r="AA8" s="435">
        <f t="shared" si="2"/>
        <v>60</v>
      </c>
      <c r="AB8" s="531" t="s">
        <v>311</v>
      </c>
    </row>
    <row r="9" spans="1:29" ht="48" x14ac:dyDescent="0.3">
      <c r="A9" s="642"/>
      <c r="B9" s="424" t="s">
        <v>277</v>
      </c>
      <c r="C9" s="424" t="s">
        <v>278</v>
      </c>
      <c r="D9" s="424" t="s">
        <v>529</v>
      </c>
      <c r="E9" s="429">
        <v>3</v>
      </c>
      <c r="F9" s="429">
        <v>4</v>
      </c>
      <c r="G9" s="429">
        <v>0</v>
      </c>
      <c r="H9" s="429"/>
      <c r="I9" s="429">
        <f t="shared" si="0"/>
        <v>7</v>
      </c>
      <c r="J9" s="429">
        <v>3</v>
      </c>
      <c r="K9" s="429">
        <v>4</v>
      </c>
      <c r="L9" s="429">
        <v>0</v>
      </c>
      <c r="M9" s="429"/>
      <c r="N9" s="429">
        <f t="shared" si="1"/>
        <v>7</v>
      </c>
      <c r="O9" s="429">
        <v>3</v>
      </c>
      <c r="P9" s="429">
        <v>3</v>
      </c>
      <c r="Q9" s="430">
        <f t="shared" si="5"/>
        <v>25</v>
      </c>
      <c r="R9" s="429">
        <v>4</v>
      </c>
      <c r="S9" s="159">
        <v>4</v>
      </c>
      <c r="T9" s="178">
        <f t="shared" si="3"/>
        <v>25</v>
      </c>
      <c r="U9" s="429">
        <v>0</v>
      </c>
      <c r="V9" s="429">
        <v>0</v>
      </c>
      <c r="W9" s="430">
        <v>25</v>
      </c>
      <c r="X9" s="429"/>
      <c r="Y9" s="429"/>
      <c r="Z9" s="429"/>
      <c r="AA9" s="430">
        <f t="shared" si="2"/>
        <v>75</v>
      </c>
      <c r="AB9" s="531"/>
    </row>
    <row r="10" spans="1:29" ht="72" x14ac:dyDescent="0.3">
      <c r="A10" s="642"/>
      <c r="B10" s="159" t="s">
        <v>279</v>
      </c>
      <c r="C10" s="159" t="s">
        <v>268</v>
      </c>
      <c r="D10" s="159" t="s">
        <v>528</v>
      </c>
      <c r="E10" s="429">
        <v>0</v>
      </c>
      <c r="F10" s="429">
        <v>30</v>
      </c>
      <c r="G10" s="429">
        <v>30</v>
      </c>
      <c r="H10" s="429">
        <v>10</v>
      </c>
      <c r="I10" s="429">
        <f t="shared" si="0"/>
        <v>70</v>
      </c>
      <c r="J10" s="429">
        <v>0</v>
      </c>
      <c r="K10" s="159">
        <v>32</v>
      </c>
      <c r="L10" s="429">
        <v>22</v>
      </c>
      <c r="M10" s="429"/>
      <c r="N10" s="429">
        <f t="shared" si="1"/>
        <v>54</v>
      </c>
      <c r="O10" s="429">
        <v>0</v>
      </c>
      <c r="P10" s="429">
        <v>0</v>
      </c>
      <c r="Q10" s="430">
        <v>25</v>
      </c>
      <c r="R10" s="429">
        <v>32</v>
      </c>
      <c r="S10" s="159">
        <v>30</v>
      </c>
      <c r="T10" s="178">
        <f t="shared" si="3"/>
        <v>26.666666666666668</v>
      </c>
      <c r="U10" s="429">
        <v>22</v>
      </c>
      <c r="V10" s="429">
        <v>30</v>
      </c>
      <c r="W10" s="431">
        <f t="shared" si="4"/>
        <v>18.333333333333332</v>
      </c>
      <c r="X10" s="429"/>
      <c r="Y10" s="429"/>
      <c r="Z10" s="429"/>
      <c r="AA10" s="435">
        <f t="shared" si="2"/>
        <v>70</v>
      </c>
      <c r="AB10" s="531"/>
    </row>
    <row r="11" spans="1:29" ht="72" x14ac:dyDescent="0.3">
      <c r="A11" s="642"/>
      <c r="B11" s="159" t="s">
        <v>890</v>
      </c>
      <c r="C11" s="159" t="s">
        <v>268</v>
      </c>
      <c r="D11" s="159" t="s">
        <v>528</v>
      </c>
      <c r="E11" s="429">
        <v>0</v>
      </c>
      <c r="F11" s="429">
        <v>30</v>
      </c>
      <c r="G11" s="429">
        <v>30</v>
      </c>
      <c r="H11" s="429">
        <v>10</v>
      </c>
      <c r="I11" s="429">
        <f t="shared" si="0"/>
        <v>70</v>
      </c>
      <c r="J11" s="429">
        <v>0</v>
      </c>
      <c r="K11" s="159">
        <v>32</v>
      </c>
      <c r="L11" s="429">
        <v>18</v>
      </c>
      <c r="M11" s="429"/>
      <c r="N11" s="429">
        <f t="shared" si="1"/>
        <v>50</v>
      </c>
      <c r="O11" s="429">
        <v>0</v>
      </c>
      <c r="P11" s="429">
        <v>0</v>
      </c>
      <c r="Q11" s="430">
        <v>25</v>
      </c>
      <c r="R11" s="429">
        <v>32</v>
      </c>
      <c r="S11" s="159">
        <v>30</v>
      </c>
      <c r="T11" s="178">
        <f t="shared" si="3"/>
        <v>26.666666666666668</v>
      </c>
      <c r="U11" s="429">
        <v>18</v>
      </c>
      <c r="V11" s="429">
        <v>30</v>
      </c>
      <c r="W11" s="435">
        <f t="shared" si="4"/>
        <v>15</v>
      </c>
      <c r="X11" s="429"/>
      <c r="Y11" s="429"/>
      <c r="Z11" s="429"/>
      <c r="AA11" s="431">
        <f t="shared" si="2"/>
        <v>66.666666666666671</v>
      </c>
      <c r="AB11" s="531"/>
    </row>
    <row r="12" spans="1:29" ht="36" x14ac:dyDescent="0.3">
      <c r="A12" s="159"/>
      <c r="B12" s="425" t="s">
        <v>728</v>
      </c>
      <c r="C12" s="159" t="s">
        <v>799</v>
      </c>
      <c r="D12" s="159" t="s">
        <v>800</v>
      </c>
      <c r="E12" s="429">
        <v>0</v>
      </c>
      <c r="F12" s="429">
        <v>20</v>
      </c>
      <c r="G12" s="429">
        <v>30</v>
      </c>
      <c r="H12" s="429">
        <v>0</v>
      </c>
      <c r="I12" s="429">
        <f t="shared" si="0"/>
        <v>50</v>
      </c>
      <c r="J12" s="429">
        <v>0</v>
      </c>
      <c r="K12" s="159">
        <v>0</v>
      </c>
      <c r="L12" s="429">
        <v>50</v>
      </c>
      <c r="M12" s="429"/>
      <c r="N12" s="429">
        <f t="shared" si="1"/>
        <v>50</v>
      </c>
      <c r="O12" s="429">
        <v>0</v>
      </c>
      <c r="P12" s="429">
        <v>0</v>
      </c>
      <c r="Q12" s="430">
        <v>25</v>
      </c>
      <c r="R12" s="429">
        <v>0</v>
      </c>
      <c r="S12" s="159">
        <v>20</v>
      </c>
      <c r="T12" s="177">
        <f t="shared" si="3"/>
        <v>0</v>
      </c>
      <c r="U12" s="429">
        <v>50</v>
      </c>
      <c r="V12" s="429">
        <v>30</v>
      </c>
      <c r="W12" s="433">
        <f t="shared" si="4"/>
        <v>41.666666666666671</v>
      </c>
      <c r="X12" s="429"/>
      <c r="Y12" s="429"/>
      <c r="Z12" s="429"/>
      <c r="AA12" s="431">
        <f t="shared" si="2"/>
        <v>66.666666666666671</v>
      </c>
      <c r="AB12" s="531"/>
    </row>
    <row r="13" spans="1:29" ht="96" x14ac:dyDescent="0.3">
      <c r="A13" s="159"/>
      <c r="B13" s="425" t="s">
        <v>727</v>
      </c>
      <c r="C13" s="159" t="s">
        <v>801</v>
      </c>
      <c r="D13" s="159" t="s">
        <v>802</v>
      </c>
      <c r="E13" s="429">
        <v>0</v>
      </c>
      <c r="F13" s="429">
        <v>1</v>
      </c>
      <c r="G13" s="429">
        <v>3</v>
      </c>
      <c r="H13" s="429">
        <v>2</v>
      </c>
      <c r="I13" s="429">
        <f t="shared" si="0"/>
        <v>6</v>
      </c>
      <c r="J13" s="429">
        <v>0</v>
      </c>
      <c r="K13" s="159">
        <v>1</v>
      </c>
      <c r="L13" s="429">
        <v>5</v>
      </c>
      <c r="M13" s="429"/>
      <c r="N13" s="429">
        <f t="shared" si="1"/>
        <v>6</v>
      </c>
      <c r="O13" s="429">
        <v>0</v>
      </c>
      <c r="P13" s="429">
        <v>0</v>
      </c>
      <c r="Q13" s="430">
        <v>25</v>
      </c>
      <c r="R13" s="429">
        <v>1</v>
      </c>
      <c r="S13" s="159">
        <v>1</v>
      </c>
      <c r="T13" s="178">
        <f t="shared" si="3"/>
        <v>25</v>
      </c>
      <c r="U13" s="429">
        <v>5</v>
      </c>
      <c r="V13" s="429">
        <v>3</v>
      </c>
      <c r="W13" s="433">
        <f t="shared" si="4"/>
        <v>41.666666666666671</v>
      </c>
      <c r="X13" s="429"/>
      <c r="Y13" s="429"/>
      <c r="Z13" s="429"/>
      <c r="AA13" s="433">
        <f t="shared" si="2"/>
        <v>91.666666666666671</v>
      </c>
      <c r="AB13" s="531"/>
    </row>
    <row r="14" spans="1:29" ht="72" x14ac:dyDescent="0.3">
      <c r="A14" s="159" t="s">
        <v>280</v>
      </c>
      <c r="B14" s="159" t="s">
        <v>892</v>
      </c>
      <c r="C14" s="159" t="s">
        <v>268</v>
      </c>
      <c r="D14" s="159" t="s">
        <v>281</v>
      </c>
      <c r="E14" s="429">
        <v>0</v>
      </c>
      <c r="F14" s="429">
        <v>33</v>
      </c>
      <c r="G14" s="429">
        <v>33</v>
      </c>
      <c r="H14" s="429">
        <v>0</v>
      </c>
      <c r="I14" s="429">
        <f t="shared" si="0"/>
        <v>66</v>
      </c>
      <c r="J14" s="429">
        <v>0</v>
      </c>
      <c r="K14" s="429">
        <v>33</v>
      </c>
      <c r="L14" s="429">
        <v>18</v>
      </c>
      <c r="M14" s="429"/>
      <c r="N14" s="429">
        <f t="shared" si="1"/>
        <v>51</v>
      </c>
      <c r="O14" s="429">
        <v>0</v>
      </c>
      <c r="P14" s="429">
        <v>0</v>
      </c>
      <c r="Q14" s="430">
        <v>25</v>
      </c>
      <c r="R14" s="429">
        <v>33</v>
      </c>
      <c r="S14" s="159">
        <v>33</v>
      </c>
      <c r="T14" s="178">
        <f t="shared" si="3"/>
        <v>25</v>
      </c>
      <c r="U14" s="429">
        <v>18</v>
      </c>
      <c r="V14" s="429">
        <v>33</v>
      </c>
      <c r="W14" s="431">
        <f t="shared" si="4"/>
        <v>13.636363636363635</v>
      </c>
      <c r="X14" s="429"/>
      <c r="Y14" s="429"/>
      <c r="Z14" s="429"/>
      <c r="AA14" s="431">
        <f t="shared" si="2"/>
        <v>63.636363636363633</v>
      </c>
      <c r="AB14" s="531"/>
    </row>
    <row r="15" spans="1:29" ht="36" x14ac:dyDescent="0.3">
      <c r="A15" s="642" t="s">
        <v>282</v>
      </c>
      <c r="B15" s="159" t="s">
        <v>283</v>
      </c>
      <c r="C15" s="159" t="s">
        <v>271</v>
      </c>
      <c r="D15" s="159" t="s">
        <v>524</v>
      </c>
      <c r="E15" s="429">
        <v>1</v>
      </c>
      <c r="F15" s="429">
        <v>1</v>
      </c>
      <c r="G15" s="429">
        <v>1</v>
      </c>
      <c r="H15" s="429">
        <v>1</v>
      </c>
      <c r="I15" s="429">
        <f t="shared" si="0"/>
        <v>4</v>
      </c>
      <c r="J15" s="429">
        <v>0</v>
      </c>
      <c r="K15" s="429">
        <v>1</v>
      </c>
      <c r="L15" s="429">
        <v>1</v>
      </c>
      <c r="M15" s="429"/>
      <c r="N15" s="429">
        <f t="shared" si="1"/>
        <v>2</v>
      </c>
      <c r="O15" s="429">
        <v>0</v>
      </c>
      <c r="P15" s="429">
        <v>1</v>
      </c>
      <c r="Q15" s="435">
        <f t="shared" si="5"/>
        <v>0</v>
      </c>
      <c r="R15" s="429">
        <v>1</v>
      </c>
      <c r="S15" s="159">
        <v>1</v>
      </c>
      <c r="T15" s="178">
        <f t="shared" si="3"/>
        <v>25</v>
      </c>
      <c r="U15" s="429">
        <v>1</v>
      </c>
      <c r="V15" s="429">
        <v>1</v>
      </c>
      <c r="W15" s="430">
        <f t="shared" si="4"/>
        <v>25</v>
      </c>
      <c r="X15" s="429"/>
      <c r="Y15" s="429"/>
      <c r="Z15" s="429"/>
      <c r="AA15" s="435">
        <f t="shared" si="2"/>
        <v>50</v>
      </c>
      <c r="AB15" s="531"/>
    </row>
    <row r="16" spans="1:29" ht="48" x14ac:dyDescent="0.3">
      <c r="A16" s="642"/>
      <c r="B16" s="159" t="s">
        <v>284</v>
      </c>
      <c r="C16" s="159" t="s">
        <v>268</v>
      </c>
      <c r="D16" s="159" t="s">
        <v>528</v>
      </c>
      <c r="E16" s="429">
        <v>0</v>
      </c>
      <c r="F16" s="429">
        <v>6</v>
      </c>
      <c r="G16" s="429">
        <v>6</v>
      </c>
      <c r="H16" s="429">
        <v>6</v>
      </c>
      <c r="I16" s="429">
        <f t="shared" si="0"/>
        <v>18</v>
      </c>
      <c r="J16" s="429">
        <v>0</v>
      </c>
      <c r="K16" s="429">
        <v>6</v>
      </c>
      <c r="L16" s="429">
        <v>8</v>
      </c>
      <c r="M16" s="429"/>
      <c r="N16" s="429">
        <f t="shared" si="1"/>
        <v>14</v>
      </c>
      <c r="O16" s="429">
        <v>0</v>
      </c>
      <c r="P16" s="429">
        <v>0</v>
      </c>
      <c r="Q16" s="430">
        <v>25</v>
      </c>
      <c r="R16" s="429">
        <v>6</v>
      </c>
      <c r="S16" s="159">
        <v>6</v>
      </c>
      <c r="T16" s="178">
        <f t="shared" si="3"/>
        <v>25</v>
      </c>
      <c r="U16" s="429">
        <v>8</v>
      </c>
      <c r="V16" s="429">
        <v>6</v>
      </c>
      <c r="W16" s="433">
        <f t="shared" si="4"/>
        <v>33.333333333333329</v>
      </c>
      <c r="X16" s="429"/>
      <c r="Y16" s="429"/>
      <c r="Z16" s="429"/>
      <c r="AA16" s="438">
        <f t="shared" si="2"/>
        <v>83.333333333333329</v>
      </c>
      <c r="AB16" s="531"/>
    </row>
    <row r="17" spans="1:29" ht="84" x14ac:dyDescent="0.3">
      <c r="A17" s="642"/>
      <c r="B17" s="424" t="s">
        <v>893</v>
      </c>
      <c r="C17" s="159" t="s">
        <v>268</v>
      </c>
      <c r="D17" s="159" t="s">
        <v>478</v>
      </c>
      <c r="E17" s="429">
        <v>0</v>
      </c>
      <c r="F17" s="429">
        <v>8</v>
      </c>
      <c r="G17" s="429">
        <v>8</v>
      </c>
      <c r="H17" s="429">
        <v>10</v>
      </c>
      <c r="I17" s="429">
        <f t="shared" si="0"/>
        <v>26</v>
      </c>
      <c r="J17" s="429">
        <v>0</v>
      </c>
      <c r="K17" s="429">
        <v>6</v>
      </c>
      <c r="L17" s="429">
        <v>7</v>
      </c>
      <c r="M17" s="429"/>
      <c r="N17" s="429">
        <f t="shared" si="1"/>
        <v>13</v>
      </c>
      <c r="O17" s="429">
        <v>0</v>
      </c>
      <c r="P17" s="429">
        <v>0</v>
      </c>
      <c r="Q17" s="430">
        <v>25</v>
      </c>
      <c r="R17" s="429">
        <v>6</v>
      </c>
      <c r="S17" s="159">
        <v>8</v>
      </c>
      <c r="T17" s="180">
        <f t="shared" si="3"/>
        <v>18.75</v>
      </c>
      <c r="U17" s="429">
        <v>7</v>
      </c>
      <c r="V17" s="429">
        <v>8</v>
      </c>
      <c r="W17" s="438">
        <f t="shared" si="4"/>
        <v>21.875</v>
      </c>
      <c r="X17" s="429"/>
      <c r="Y17" s="429"/>
      <c r="Z17" s="429"/>
      <c r="AA17" s="431">
        <f t="shared" si="2"/>
        <v>65.625</v>
      </c>
      <c r="AB17" s="531"/>
      <c r="AC17" s="495" t="s">
        <v>725</v>
      </c>
    </row>
    <row r="18" spans="1:29" ht="72" x14ac:dyDescent="0.3">
      <c r="A18" s="642"/>
      <c r="B18" s="424" t="s">
        <v>285</v>
      </c>
      <c r="C18" s="159" t="s">
        <v>268</v>
      </c>
      <c r="D18" s="159" t="s">
        <v>528</v>
      </c>
      <c r="E18" s="429">
        <v>0</v>
      </c>
      <c r="F18" s="429">
        <v>2</v>
      </c>
      <c r="G18" s="429">
        <v>2</v>
      </c>
      <c r="H18" s="429">
        <v>1</v>
      </c>
      <c r="I18" s="429">
        <f>E18+F18+G18+H18</f>
        <v>5</v>
      </c>
      <c r="J18" s="429">
        <v>0</v>
      </c>
      <c r="K18" s="429">
        <v>0</v>
      </c>
      <c r="L18" s="429">
        <v>3</v>
      </c>
      <c r="M18" s="429"/>
      <c r="N18" s="429">
        <f t="shared" si="1"/>
        <v>3</v>
      </c>
      <c r="O18" s="429">
        <v>0</v>
      </c>
      <c r="P18" s="429">
        <v>0</v>
      </c>
      <c r="Q18" s="430">
        <v>25</v>
      </c>
      <c r="R18" s="429">
        <v>0</v>
      </c>
      <c r="S18" s="159">
        <v>2</v>
      </c>
      <c r="T18" s="177">
        <f t="shared" si="3"/>
        <v>0</v>
      </c>
      <c r="U18" s="429">
        <v>3</v>
      </c>
      <c r="V18" s="429">
        <v>2</v>
      </c>
      <c r="W18" s="433">
        <f t="shared" si="4"/>
        <v>37.5</v>
      </c>
      <c r="X18" s="429"/>
      <c r="Y18" s="429"/>
      <c r="Z18" s="429"/>
      <c r="AA18" s="431">
        <f t="shared" si="2"/>
        <v>62.5</v>
      </c>
      <c r="AB18" s="531"/>
    </row>
    <row r="19" spans="1:29" ht="48" x14ac:dyDescent="0.3">
      <c r="A19" s="642"/>
      <c r="B19" s="159" t="s">
        <v>286</v>
      </c>
      <c r="C19" s="159" t="s">
        <v>278</v>
      </c>
      <c r="D19" s="159" t="s">
        <v>526</v>
      </c>
      <c r="E19" s="429">
        <v>0</v>
      </c>
      <c r="F19" s="429">
        <v>1</v>
      </c>
      <c r="G19" s="429">
        <v>23</v>
      </c>
      <c r="H19" s="429"/>
      <c r="I19" s="429">
        <f>E19+F19+G19+H19</f>
        <v>24</v>
      </c>
      <c r="J19" s="429">
        <v>0</v>
      </c>
      <c r="K19" s="429">
        <v>1</v>
      </c>
      <c r="L19" s="429">
        <v>23</v>
      </c>
      <c r="M19" s="429"/>
      <c r="N19" s="429">
        <f t="shared" si="1"/>
        <v>24</v>
      </c>
      <c r="O19" s="429">
        <v>0</v>
      </c>
      <c r="P19" s="429">
        <v>0</v>
      </c>
      <c r="Q19" s="430">
        <v>25</v>
      </c>
      <c r="R19" s="429">
        <v>1</v>
      </c>
      <c r="S19" s="159">
        <v>1</v>
      </c>
      <c r="T19" s="178">
        <f t="shared" si="3"/>
        <v>25</v>
      </c>
      <c r="U19" s="429">
        <v>23</v>
      </c>
      <c r="V19" s="429">
        <v>23</v>
      </c>
      <c r="W19" s="430">
        <f t="shared" si="4"/>
        <v>25</v>
      </c>
      <c r="X19" s="429"/>
      <c r="Y19" s="429"/>
      <c r="Z19" s="429"/>
      <c r="AA19" s="434">
        <f t="shared" si="2"/>
        <v>75</v>
      </c>
      <c r="AB19" s="531"/>
    </row>
    <row r="20" spans="1:29" ht="60" x14ac:dyDescent="0.3">
      <c r="A20" s="642"/>
      <c r="B20" s="424" t="s">
        <v>287</v>
      </c>
      <c r="C20" s="424" t="s">
        <v>278</v>
      </c>
      <c r="D20" s="424" t="s">
        <v>527</v>
      </c>
      <c r="E20" s="429">
        <v>10</v>
      </c>
      <c r="F20" s="429">
        <v>1</v>
      </c>
      <c r="G20" s="429">
        <v>10</v>
      </c>
      <c r="H20" s="429"/>
      <c r="I20" s="429">
        <f>E20+F20+G20+H20</f>
        <v>21</v>
      </c>
      <c r="J20" s="429">
        <v>10</v>
      </c>
      <c r="K20" s="429">
        <v>1</v>
      </c>
      <c r="L20" s="429">
        <v>10</v>
      </c>
      <c r="M20" s="429"/>
      <c r="N20" s="429">
        <f t="shared" si="1"/>
        <v>21</v>
      </c>
      <c r="O20" s="429">
        <v>10</v>
      </c>
      <c r="P20" s="429">
        <v>10</v>
      </c>
      <c r="Q20" s="430">
        <f t="shared" si="5"/>
        <v>25</v>
      </c>
      <c r="R20" s="429">
        <v>0</v>
      </c>
      <c r="S20" s="159">
        <v>1</v>
      </c>
      <c r="T20" s="177">
        <f t="shared" si="3"/>
        <v>0</v>
      </c>
      <c r="U20" s="429">
        <v>10</v>
      </c>
      <c r="V20" s="429">
        <v>10</v>
      </c>
      <c r="W20" s="430">
        <f t="shared" si="4"/>
        <v>25</v>
      </c>
      <c r="X20" s="429"/>
      <c r="Y20" s="429"/>
      <c r="Z20" s="429"/>
      <c r="AA20" s="435">
        <f t="shared" si="2"/>
        <v>50</v>
      </c>
      <c r="AB20" s="531"/>
    </row>
    <row r="21" spans="1:29" ht="48" x14ac:dyDescent="0.3">
      <c r="A21" s="642"/>
      <c r="B21" s="159" t="s">
        <v>288</v>
      </c>
      <c r="C21" s="424" t="s">
        <v>289</v>
      </c>
      <c r="D21" s="424" t="s">
        <v>525</v>
      </c>
      <c r="E21" s="429">
        <v>0</v>
      </c>
      <c r="F21" s="429">
        <v>500</v>
      </c>
      <c r="G21" s="429">
        <v>750</v>
      </c>
      <c r="H21" s="429">
        <v>750</v>
      </c>
      <c r="I21" s="429">
        <f t="shared" si="0"/>
        <v>2000</v>
      </c>
      <c r="J21" s="429">
        <v>0</v>
      </c>
      <c r="K21" s="429">
        <v>127</v>
      </c>
      <c r="L21" s="429">
        <v>430</v>
      </c>
      <c r="M21" s="429"/>
      <c r="N21" s="429">
        <f t="shared" si="1"/>
        <v>557</v>
      </c>
      <c r="O21" s="429">
        <v>0</v>
      </c>
      <c r="P21" s="429">
        <v>0</v>
      </c>
      <c r="Q21" s="430">
        <v>25</v>
      </c>
      <c r="R21" s="429">
        <v>127</v>
      </c>
      <c r="S21" s="159">
        <v>500</v>
      </c>
      <c r="T21" s="177">
        <f t="shared" si="3"/>
        <v>6.35</v>
      </c>
      <c r="U21" s="429">
        <v>430</v>
      </c>
      <c r="V21" s="429">
        <v>750</v>
      </c>
      <c r="W21" s="431">
        <f t="shared" si="4"/>
        <v>14.333333333333334</v>
      </c>
      <c r="X21" s="429"/>
      <c r="Y21" s="429"/>
      <c r="Z21" s="429"/>
      <c r="AA21" s="431">
        <f t="shared" si="2"/>
        <v>45.683333333333337</v>
      </c>
      <c r="AB21" s="531" t="s">
        <v>312</v>
      </c>
    </row>
    <row r="22" spans="1:29" ht="48" x14ac:dyDescent="0.3">
      <c r="A22" s="642"/>
      <c r="B22" s="159" t="s">
        <v>290</v>
      </c>
      <c r="C22" s="424" t="s">
        <v>291</v>
      </c>
      <c r="D22" s="424" t="s">
        <v>516</v>
      </c>
      <c r="E22" s="440">
        <v>0.1</v>
      </c>
      <c r="F22" s="440">
        <v>0.1</v>
      </c>
      <c r="G22" s="440">
        <v>0.4</v>
      </c>
      <c r="H22" s="440">
        <v>0.4</v>
      </c>
      <c r="I22" s="429">
        <f t="shared" si="0"/>
        <v>1</v>
      </c>
      <c r="J22" s="440">
        <v>0.1</v>
      </c>
      <c r="K22" s="440">
        <v>0.1</v>
      </c>
      <c r="L22" s="440">
        <v>0.4</v>
      </c>
      <c r="M22" s="429"/>
      <c r="N22" s="440">
        <v>0.6</v>
      </c>
      <c r="O22" s="440">
        <v>0.1</v>
      </c>
      <c r="P22" s="440">
        <v>0.1</v>
      </c>
      <c r="Q22" s="430">
        <v>25</v>
      </c>
      <c r="R22" s="440">
        <v>0.1</v>
      </c>
      <c r="S22" s="441">
        <v>0.1</v>
      </c>
      <c r="T22" s="178">
        <v>25</v>
      </c>
      <c r="U22" s="440">
        <v>0.4</v>
      </c>
      <c r="V22" s="440">
        <v>0.4</v>
      </c>
      <c r="W22" s="430">
        <f t="shared" si="4"/>
        <v>25</v>
      </c>
      <c r="X22" s="429"/>
      <c r="Y22" s="429"/>
      <c r="Z22" s="429"/>
      <c r="AA22" s="434">
        <f t="shared" si="2"/>
        <v>75</v>
      </c>
      <c r="AB22" s="531" t="s">
        <v>313</v>
      </c>
    </row>
    <row r="23" spans="1:29" ht="60" x14ac:dyDescent="0.3">
      <c r="A23" s="642" t="s">
        <v>292</v>
      </c>
      <c r="B23" s="424" t="s">
        <v>293</v>
      </c>
      <c r="C23" s="159" t="s">
        <v>268</v>
      </c>
      <c r="D23" s="159" t="s">
        <v>478</v>
      </c>
      <c r="E23" s="429">
        <v>5</v>
      </c>
      <c r="F23" s="429">
        <v>35</v>
      </c>
      <c r="G23" s="429">
        <v>30</v>
      </c>
      <c r="H23" s="429">
        <v>26</v>
      </c>
      <c r="I23" s="429">
        <f t="shared" si="0"/>
        <v>96</v>
      </c>
      <c r="J23" s="429">
        <v>5</v>
      </c>
      <c r="K23" s="429">
        <v>36</v>
      </c>
      <c r="L23" s="429">
        <v>32</v>
      </c>
      <c r="M23" s="429"/>
      <c r="N23" s="429">
        <f t="shared" si="1"/>
        <v>73</v>
      </c>
      <c r="O23" s="429">
        <v>5</v>
      </c>
      <c r="P23" s="429">
        <v>5</v>
      </c>
      <c r="Q23" s="430">
        <f t="shared" si="5"/>
        <v>25</v>
      </c>
      <c r="R23" s="429">
        <v>36</v>
      </c>
      <c r="S23" s="159">
        <v>30</v>
      </c>
      <c r="T23" s="178">
        <f>(R23/S23)*25</f>
        <v>30</v>
      </c>
      <c r="U23" s="429">
        <v>32</v>
      </c>
      <c r="V23" s="429">
        <v>25</v>
      </c>
      <c r="W23" s="430">
        <f t="shared" si="4"/>
        <v>32</v>
      </c>
      <c r="X23" s="429"/>
      <c r="Y23" s="429"/>
      <c r="Z23" s="429"/>
      <c r="AA23" s="430">
        <f t="shared" si="2"/>
        <v>87</v>
      </c>
      <c r="AB23" s="531"/>
    </row>
    <row r="24" spans="1:29" ht="96" x14ac:dyDescent="0.3">
      <c r="A24" s="642"/>
      <c r="B24" s="424" t="s">
        <v>894</v>
      </c>
      <c r="C24" s="424" t="s">
        <v>278</v>
      </c>
      <c r="D24" s="424" t="s">
        <v>294</v>
      </c>
      <c r="E24" s="429">
        <v>90</v>
      </c>
      <c r="F24" s="429">
        <v>45</v>
      </c>
      <c r="G24" s="429">
        <v>43</v>
      </c>
      <c r="H24" s="429"/>
      <c r="I24" s="429">
        <v>178</v>
      </c>
      <c r="J24" s="429">
        <v>90</v>
      </c>
      <c r="K24" s="429">
        <v>45</v>
      </c>
      <c r="L24" s="429">
        <v>43</v>
      </c>
      <c r="M24" s="429"/>
      <c r="N24" s="429">
        <f t="shared" si="1"/>
        <v>178</v>
      </c>
      <c r="O24" s="429">
        <v>90</v>
      </c>
      <c r="P24" s="429">
        <v>90</v>
      </c>
      <c r="Q24" s="430">
        <f t="shared" si="5"/>
        <v>25</v>
      </c>
      <c r="R24" s="429">
        <v>45</v>
      </c>
      <c r="S24" s="159">
        <v>45</v>
      </c>
      <c r="T24" s="177">
        <f t="shared" si="3"/>
        <v>25</v>
      </c>
      <c r="U24" s="429">
        <v>43</v>
      </c>
      <c r="V24" s="429">
        <v>43</v>
      </c>
      <c r="W24" s="430">
        <f t="shared" si="4"/>
        <v>25</v>
      </c>
      <c r="X24" s="429"/>
      <c r="Y24" s="429"/>
      <c r="Z24" s="429"/>
      <c r="AA24" s="434">
        <f t="shared" si="2"/>
        <v>75</v>
      </c>
      <c r="AB24" s="531"/>
    </row>
    <row r="25" spans="1:29" ht="36" x14ac:dyDescent="0.3">
      <c r="A25" s="642"/>
      <c r="B25" s="426" t="s">
        <v>803</v>
      </c>
      <c r="C25" s="424" t="s">
        <v>792</v>
      </c>
      <c r="D25" s="424" t="s">
        <v>804</v>
      </c>
      <c r="E25" s="429">
        <v>0</v>
      </c>
      <c r="F25" s="429">
        <v>0</v>
      </c>
      <c r="G25" s="429">
        <v>0</v>
      </c>
      <c r="H25" s="429">
        <v>1</v>
      </c>
      <c r="I25" s="429">
        <f t="shared" si="0"/>
        <v>1</v>
      </c>
      <c r="J25" s="429">
        <v>0</v>
      </c>
      <c r="K25" s="429">
        <v>0</v>
      </c>
      <c r="L25" s="429"/>
      <c r="M25" s="429"/>
      <c r="N25" s="429">
        <f t="shared" si="1"/>
        <v>0</v>
      </c>
      <c r="O25" s="429">
        <v>0</v>
      </c>
      <c r="P25" s="429">
        <v>0</v>
      </c>
      <c r="Q25" s="430">
        <v>25</v>
      </c>
      <c r="R25" s="429">
        <v>0</v>
      </c>
      <c r="S25" s="159">
        <v>0</v>
      </c>
      <c r="T25" s="178">
        <v>25</v>
      </c>
      <c r="U25" s="429">
        <v>0</v>
      </c>
      <c r="V25" s="429">
        <v>0</v>
      </c>
      <c r="W25" s="430">
        <v>25</v>
      </c>
      <c r="X25" s="429"/>
      <c r="Y25" s="429"/>
      <c r="Z25" s="429"/>
      <c r="AA25" s="434">
        <f t="shared" si="2"/>
        <v>75</v>
      </c>
      <c r="AB25" s="531"/>
    </row>
    <row r="26" spans="1:29" ht="84" x14ac:dyDescent="0.3">
      <c r="A26" s="642"/>
      <c r="B26" s="424" t="s">
        <v>895</v>
      </c>
      <c r="C26" s="159" t="s">
        <v>271</v>
      </c>
      <c r="D26" s="159" t="s">
        <v>524</v>
      </c>
      <c r="E26" s="429">
        <v>0</v>
      </c>
      <c r="F26" s="429">
        <v>1</v>
      </c>
      <c r="G26" s="429">
        <v>2</v>
      </c>
      <c r="H26" s="429">
        <v>1</v>
      </c>
      <c r="I26" s="429">
        <f t="shared" si="0"/>
        <v>4</v>
      </c>
      <c r="J26" s="429">
        <v>0</v>
      </c>
      <c r="K26" s="429">
        <v>1</v>
      </c>
      <c r="L26" s="429">
        <v>2</v>
      </c>
      <c r="M26" s="429"/>
      <c r="N26" s="429">
        <f t="shared" si="1"/>
        <v>3</v>
      </c>
      <c r="O26" s="429">
        <v>0</v>
      </c>
      <c r="P26" s="429">
        <v>0</v>
      </c>
      <c r="Q26" s="430">
        <v>25</v>
      </c>
      <c r="R26" s="429">
        <v>1</v>
      </c>
      <c r="S26" s="159">
        <v>1</v>
      </c>
      <c r="T26" s="178">
        <f t="shared" si="3"/>
        <v>25</v>
      </c>
      <c r="U26" s="429">
        <v>2</v>
      </c>
      <c r="V26" s="429">
        <v>2</v>
      </c>
      <c r="W26" s="430">
        <f t="shared" si="4"/>
        <v>25</v>
      </c>
      <c r="X26" s="429"/>
      <c r="Y26" s="429"/>
      <c r="Z26" s="429"/>
      <c r="AA26" s="434">
        <f t="shared" si="2"/>
        <v>75</v>
      </c>
      <c r="AB26" s="531"/>
    </row>
    <row r="27" spans="1:29" ht="36" x14ac:dyDescent="0.3">
      <c r="A27" s="159"/>
      <c r="B27" s="159" t="s">
        <v>295</v>
      </c>
      <c r="C27" s="424" t="s">
        <v>296</v>
      </c>
      <c r="D27" s="424" t="s">
        <v>523</v>
      </c>
      <c r="E27" s="429">
        <v>0</v>
      </c>
      <c r="F27" s="429">
        <v>20</v>
      </c>
      <c r="G27" s="429">
        <v>20</v>
      </c>
      <c r="H27" s="429">
        <v>0</v>
      </c>
      <c r="I27" s="429">
        <f t="shared" si="0"/>
        <v>40</v>
      </c>
      <c r="J27" s="429">
        <v>0</v>
      </c>
      <c r="K27" s="429">
        <v>0</v>
      </c>
      <c r="L27" s="429">
        <v>13</v>
      </c>
      <c r="M27" s="429"/>
      <c r="N27" s="429">
        <f t="shared" si="1"/>
        <v>13</v>
      </c>
      <c r="O27" s="429">
        <v>0</v>
      </c>
      <c r="P27" s="429">
        <v>0</v>
      </c>
      <c r="Q27" s="430">
        <v>25</v>
      </c>
      <c r="R27" s="429">
        <v>0</v>
      </c>
      <c r="S27" s="159">
        <v>20</v>
      </c>
      <c r="T27" s="177">
        <f t="shared" si="3"/>
        <v>0</v>
      </c>
      <c r="U27" s="429">
        <v>13</v>
      </c>
      <c r="V27" s="429">
        <v>20</v>
      </c>
      <c r="W27" s="431">
        <f t="shared" si="4"/>
        <v>16.25</v>
      </c>
      <c r="X27" s="429"/>
      <c r="Y27" s="429"/>
      <c r="Z27" s="429"/>
      <c r="AA27" s="431">
        <f t="shared" si="2"/>
        <v>41.25</v>
      </c>
      <c r="AB27" s="531" t="s">
        <v>314</v>
      </c>
    </row>
    <row r="28" spans="1:29" ht="72" x14ac:dyDescent="0.3">
      <c r="A28" s="642" t="s">
        <v>297</v>
      </c>
      <c r="B28" s="424" t="s">
        <v>298</v>
      </c>
      <c r="C28" s="159" t="s">
        <v>268</v>
      </c>
      <c r="D28" s="159" t="s">
        <v>478</v>
      </c>
      <c r="E28" s="429">
        <v>1</v>
      </c>
      <c r="F28" s="429">
        <v>4</v>
      </c>
      <c r="G28" s="429">
        <v>5</v>
      </c>
      <c r="H28" s="429">
        <v>6</v>
      </c>
      <c r="I28" s="429">
        <f t="shared" si="0"/>
        <v>16</v>
      </c>
      <c r="J28" s="429">
        <v>1</v>
      </c>
      <c r="K28" s="429">
        <v>3</v>
      </c>
      <c r="L28" s="429">
        <v>7</v>
      </c>
      <c r="M28" s="429"/>
      <c r="N28" s="429">
        <f t="shared" si="1"/>
        <v>11</v>
      </c>
      <c r="O28" s="429">
        <v>1</v>
      </c>
      <c r="P28" s="429">
        <v>1</v>
      </c>
      <c r="Q28" s="430">
        <f t="shared" si="5"/>
        <v>25</v>
      </c>
      <c r="R28" s="429">
        <v>3</v>
      </c>
      <c r="S28" s="159">
        <v>4</v>
      </c>
      <c r="T28" s="180">
        <f t="shared" si="3"/>
        <v>18.75</v>
      </c>
      <c r="U28" s="429">
        <v>7</v>
      </c>
      <c r="V28" s="429">
        <v>5</v>
      </c>
      <c r="W28" s="430">
        <f t="shared" si="4"/>
        <v>35</v>
      </c>
      <c r="X28" s="429"/>
      <c r="Y28" s="429"/>
      <c r="Z28" s="429"/>
      <c r="AA28" s="438">
        <f t="shared" si="2"/>
        <v>78.75</v>
      </c>
      <c r="AB28" s="531"/>
    </row>
    <row r="29" spans="1:29" ht="65.400000000000006" customHeight="1" x14ac:dyDescent="0.3">
      <c r="A29" s="642"/>
      <c r="B29" s="424" t="s">
        <v>726</v>
      </c>
      <c r="C29" s="159" t="s">
        <v>805</v>
      </c>
      <c r="D29" s="159" t="s">
        <v>806</v>
      </c>
      <c r="E29" s="429">
        <v>1</v>
      </c>
      <c r="F29" s="429">
        <v>3</v>
      </c>
      <c r="G29" s="429">
        <v>3</v>
      </c>
      <c r="H29" s="429">
        <v>2</v>
      </c>
      <c r="I29" s="429">
        <f t="shared" si="0"/>
        <v>9</v>
      </c>
      <c r="J29" s="429">
        <v>1</v>
      </c>
      <c r="K29" s="429">
        <v>3</v>
      </c>
      <c r="L29" s="429">
        <v>4</v>
      </c>
      <c r="M29" s="429"/>
      <c r="N29" s="429">
        <f t="shared" si="1"/>
        <v>8</v>
      </c>
      <c r="O29" s="429">
        <v>1</v>
      </c>
      <c r="P29" s="429">
        <v>1</v>
      </c>
      <c r="Q29" s="430">
        <v>25</v>
      </c>
      <c r="R29" s="429">
        <v>3</v>
      </c>
      <c r="S29" s="159">
        <v>3</v>
      </c>
      <c r="T29" s="178">
        <f t="shared" si="3"/>
        <v>25</v>
      </c>
      <c r="U29" s="429">
        <v>4</v>
      </c>
      <c r="V29" s="429">
        <v>3</v>
      </c>
      <c r="W29" s="433">
        <f t="shared" si="4"/>
        <v>33.333333333333329</v>
      </c>
      <c r="X29" s="429"/>
      <c r="Y29" s="429"/>
      <c r="Z29" s="429"/>
      <c r="AA29" s="433">
        <f t="shared" si="2"/>
        <v>83.333333333333329</v>
      </c>
      <c r="AB29" s="531"/>
    </row>
    <row r="30" spans="1:29" ht="72" x14ac:dyDescent="0.3">
      <c r="A30" s="642"/>
      <c r="B30" s="159" t="s">
        <v>299</v>
      </c>
      <c r="C30" s="159" t="s">
        <v>300</v>
      </c>
      <c r="D30" s="159" t="s">
        <v>522</v>
      </c>
      <c r="E30" s="429">
        <v>3</v>
      </c>
      <c r="F30" s="429">
        <v>60</v>
      </c>
      <c r="G30" s="429">
        <v>80</v>
      </c>
      <c r="H30" s="429">
        <v>60</v>
      </c>
      <c r="I30" s="429">
        <f t="shared" si="0"/>
        <v>203</v>
      </c>
      <c r="J30" s="429">
        <v>3</v>
      </c>
      <c r="K30" s="429">
        <v>68</v>
      </c>
      <c r="L30" s="429">
        <v>129</v>
      </c>
      <c r="M30" s="429"/>
      <c r="N30" s="429">
        <f t="shared" si="1"/>
        <v>200</v>
      </c>
      <c r="O30" s="429">
        <v>3</v>
      </c>
      <c r="P30" s="429">
        <v>3</v>
      </c>
      <c r="Q30" s="430">
        <v>25</v>
      </c>
      <c r="R30" s="429">
        <v>68</v>
      </c>
      <c r="S30" s="159">
        <v>60</v>
      </c>
      <c r="T30" s="178">
        <f t="shared" si="3"/>
        <v>28.333333333333332</v>
      </c>
      <c r="U30" s="429">
        <v>129</v>
      </c>
      <c r="V30" s="429">
        <v>80</v>
      </c>
      <c r="W30" s="433">
        <f t="shared" si="4"/>
        <v>40.3125</v>
      </c>
      <c r="X30" s="429"/>
      <c r="Y30" s="429"/>
      <c r="Z30" s="429"/>
      <c r="AA30" s="433">
        <f t="shared" si="2"/>
        <v>93.645833333333329</v>
      </c>
      <c r="AB30" s="531"/>
    </row>
    <row r="31" spans="1:29" ht="93" customHeight="1" x14ac:dyDescent="0.3">
      <c r="A31" s="159" t="s">
        <v>301</v>
      </c>
      <c r="B31" s="159" t="s">
        <v>302</v>
      </c>
      <c r="C31" s="159" t="s">
        <v>300</v>
      </c>
      <c r="D31" s="159" t="s">
        <v>522</v>
      </c>
      <c r="E31" s="429">
        <v>3</v>
      </c>
      <c r="F31" s="429">
        <v>50</v>
      </c>
      <c r="G31" s="429">
        <v>70</v>
      </c>
      <c r="H31" s="429">
        <v>53</v>
      </c>
      <c r="I31" s="429">
        <f t="shared" si="0"/>
        <v>176</v>
      </c>
      <c r="J31" s="429">
        <v>3</v>
      </c>
      <c r="K31" s="429">
        <v>12</v>
      </c>
      <c r="L31" s="429">
        <v>76</v>
      </c>
      <c r="M31" s="429"/>
      <c r="N31" s="429">
        <f t="shared" si="1"/>
        <v>91</v>
      </c>
      <c r="O31" s="429">
        <v>3</v>
      </c>
      <c r="P31" s="429">
        <v>3</v>
      </c>
      <c r="Q31" s="430">
        <f t="shared" si="5"/>
        <v>25</v>
      </c>
      <c r="R31" s="429">
        <v>12</v>
      </c>
      <c r="S31" s="159">
        <v>50</v>
      </c>
      <c r="T31" s="177">
        <f t="shared" si="3"/>
        <v>6</v>
      </c>
      <c r="U31" s="429">
        <v>76</v>
      </c>
      <c r="V31" s="429">
        <v>70</v>
      </c>
      <c r="W31" s="433">
        <f t="shared" si="4"/>
        <v>27.142857142857142</v>
      </c>
      <c r="X31" s="429"/>
      <c r="Y31" s="429"/>
      <c r="Z31" s="429"/>
      <c r="AA31" s="431">
        <f t="shared" si="2"/>
        <v>58.142857142857139</v>
      </c>
      <c r="AB31" s="531"/>
    </row>
    <row r="32" spans="1:29" ht="60" x14ac:dyDescent="0.3">
      <c r="A32" s="642" t="s">
        <v>303</v>
      </c>
      <c r="B32" s="424" t="s">
        <v>304</v>
      </c>
      <c r="C32" s="424" t="s">
        <v>305</v>
      </c>
      <c r="D32" s="424" t="s">
        <v>521</v>
      </c>
      <c r="E32" s="429">
        <v>12</v>
      </c>
      <c r="F32" s="429">
        <v>16</v>
      </c>
      <c r="G32" s="429">
        <v>27</v>
      </c>
      <c r="H32" s="429"/>
      <c r="I32" s="429">
        <f t="shared" si="0"/>
        <v>55</v>
      </c>
      <c r="J32" s="429">
        <v>12</v>
      </c>
      <c r="K32" s="429">
        <v>16</v>
      </c>
      <c r="L32" s="429">
        <v>27</v>
      </c>
      <c r="M32" s="429"/>
      <c r="N32" s="429">
        <f t="shared" si="1"/>
        <v>55</v>
      </c>
      <c r="O32" s="429">
        <v>12</v>
      </c>
      <c r="P32" s="429">
        <v>12</v>
      </c>
      <c r="Q32" s="430">
        <f t="shared" si="5"/>
        <v>25</v>
      </c>
      <c r="R32" s="429">
        <v>16</v>
      </c>
      <c r="S32" s="159">
        <v>16</v>
      </c>
      <c r="T32" s="178">
        <f t="shared" si="3"/>
        <v>25</v>
      </c>
      <c r="U32" s="429">
        <v>27</v>
      </c>
      <c r="V32" s="429">
        <v>27</v>
      </c>
      <c r="W32" s="430">
        <f t="shared" si="4"/>
        <v>25</v>
      </c>
      <c r="X32" s="429"/>
      <c r="Y32" s="429"/>
      <c r="Z32" s="429"/>
      <c r="AA32" s="434">
        <f t="shared" si="2"/>
        <v>75</v>
      </c>
      <c r="AB32" s="531"/>
    </row>
    <row r="33" spans="1:28" ht="48" x14ac:dyDescent="0.3">
      <c r="A33" s="642"/>
      <c r="B33" s="424" t="s">
        <v>896</v>
      </c>
      <c r="C33" s="424" t="s">
        <v>306</v>
      </c>
      <c r="D33" s="424" t="s">
        <v>520</v>
      </c>
      <c r="E33" s="429">
        <v>0</v>
      </c>
      <c r="F33" s="429">
        <v>10</v>
      </c>
      <c r="G33" s="429">
        <v>100</v>
      </c>
      <c r="H33" s="429">
        <v>40</v>
      </c>
      <c r="I33" s="429">
        <f>E33+F33+G33+H33</f>
        <v>150</v>
      </c>
      <c r="J33" s="429">
        <v>0</v>
      </c>
      <c r="K33" s="429">
        <v>10</v>
      </c>
      <c r="L33" s="429">
        <v>100</v>
      </c>
      <c r="M33" s="429"/>
      <c r="N33" s="429">
        <f t="shared" si="1"/>
        <v>110</v>
      </c>
      <c r="O33" s="429">
        <v>0</v>
      </c>
      <c r="P33" s="429">
        <v>0</v>
      </c>
      <c r="Q33" s="430">
        <v>25</v>
      </c>
      <c r="R33" s="429">
        <v>10</v>
      </c>
      <c r="S33" s="159">
        <v>10</v>
      </c>
      <c r="T33" s="178">
        <f t="shared" si="3"/>
        <v>25</v>
      </c>
      <c r="U33" s="429">
        <v>100</v>
      </c>
      <c r="V33" s="429">
        <v>100</v>
      </c>
      <c r="W33" s="430">
        <f t="shared" si="4"/>
        <v>25</v>
      </c>
      <c r="X33" s="429"/>
      <c r="Y33" s="429"/>
      <c r="Z33" s="429"/>
      <c r="AA33" s="434">
        <f t="shared" si="2"/>
        <v>75</v>
      </c>
      <c r="AB33" s="531"/>
    </row>
    <row r="34" spans="1:28" ht="48" x14ac:dyDescent="0.3">
      <c r="A34" s="642"/>
      <c r="B34" s="424" t="s">
        <v>307</v>
      </c>
      <c r="C34" s="424" t="s">
        <v>305</v>
      </c>
      <c r="D34" s="424" t="s">
        <v>519</v>
      </c>
      <c r="E34" s="429">
        <v>60</v>
      </c>
      <c r="F34" s="429">
        <v>66</v>
      </c>
      <c r="G34" s="429">
        <v>6000</v>
      </c>
      <c r="H34" s="429">
        <v>0</v>
      </c>
      <c r="I34" s="429">
        <f>E34+F34+G34+H34</f>
        <v>6126</v>
      </c>
      <c r="J34" s="429">
        <v>60</v>
      </c>
      <c r="K34" s="429">
        <v>66</v>
      </c>
      <c r="L34" s="429">
        <v>6000</v>
      </c>
      <c r="M34" s="429"/>
      <c r="N34" s="429">
        <f t="shared" si="1"/>
        <v>6126</v>
      </c>
      <c r="O34" s="429">
        <v>60</v>
      </c>
      <c r="P34" s="429">
        <v>60</v>
      </c>
      <c r="Q34" s="430">
        <f t="shared" si="5"/>
        <v>25</v>
      </c>
      <c r="R34" s="429">
        <v>66</v>
      </c>
      <c r="S34" s="159">
        <v>66</v>
      </c>
      <c r="T34" s="178">
        <f t="shared" si="3"/>
        <v>25</v>
      </c>
      <c r="U34" s="429">
        <v>6000</v>
      </c>
      <c r="V34" s="429">
        <v>6000</v>
      </c>
      <c r="W34" s="430">
        <f t="shared" si="4"/>
        <v>25</v>
      </c>
      <c r="X34" s="429"/>
      <c r="Y34" s="429"/>
      <c r="Z34" s="429"/>
      <c r="AA34" s="434">
        <f t="shared" si="2"/>
        <v>75</v>
      </c>
      <c r="AB34" s="531"/>
    </row>
    <row r="35" spans="1:28" ht="48" x14ac:dyDescent="0.3">
      <c r="A35" s="642"/>
      <c r="B35" s="424" t="s">
        <v>308</v>
      </c>
      <c r="C35" s="424" t="s">
        <v>305</v>
      </c>
      <c r="D35" s="424" t="s">
        <v>518</v>
      </c>
      <c r="E35" s="429">
        <v>40</v>
      </c>
      <c r="F35" s="429">
        <v>112</v>
      </c>
      <c r="G35" s="429">
        <v>8158</v>
      </c>
      <c r="H35" s="429">
        <v>0</v>
      </c>
      <c r="I35" s="429">
        <f>E35+F35+G35+H35</f>
        <v>8310</v>
      </c>
      <c r="J35" s="429">
        <v>40</v>
      </c>
      <c r="K35" s="429">
        <v>112</v>
      </c>
      <c r="L35" s="429">
        <v>8158</v>
      </c>
      <c r="M35" s="429">
        <v>0</v>
      </c>
      <c r="N35" s="429">
        <f t="shared" si="1"/>
        <v>8310</v>
      </c>
      <c r="O35" s="429">
        <v>40</v>
      </c>
      <c r="P35" s="429">
        <v>40</v>
      </c>
      <c r="Q35" s="430">
        <f t="shared" si="5"/>
        <v>25</v>
      </c>
      <c r="R35" s="429">
        <v>112</v>
      </c>
      <c r="S35" s="159">
        <v>112</v>
      </c>
      <c r="T35" s="178">
        <f t="shared" si="3"/>
        <v>25</v>
      </c>
      <c r="U35" s="429">
        <v>8158</v>
      </c>
      <c r="V35" s="429">
        <v>8158</v>
      </c>
      <c r="W35" s="430">
        <f t="shared" si="4"/>
        <v>25</v>
      </c>
      <c r="X35" s="429"/>
      <c r="Y35" s="429"/>
      <c r="Z35" s="429"/>
      <c r="AA35" s="434">
        <f t="shared" si="2"/>
        <v>75</v>
      </c>
      <c r="AB35" s="531"/>
    </row>
    <row r="36" spans="1:28" ht="48" x14ac:dyDescent="0.3">
      <c r="A36" s="642"/>
      <c r="B36" s="424" t="s">
        <v>309</v>
      </c>
      <c r="C36" s="424" t="s">
        <v>305</v>
      </c>
      <c r="D36" s="424" t="s">
        <v>517</v>
      </c>
      <c r="E36" s="429">
        <v>40</v>
      </c>
      <c r="F36" s="429">
        <v>146</v>
      </c>
      <c r="G36" s="429">
        <v>4305</v>
      </c>
      <c r="H36" s="429">
        <v>0</v>
      </c>
      <c r="I36" s="429">
        <f t="shared" si="0"/>
        <v>4491</v>
      </c>
      <c r="J36" s="429">
        <v>40</v>
      </c>
      <c r="K36" s="429">
        <v>146</v>
      </c>
      <c r="L36" s="429">
        <v>4305</v>
      </c>
      <c r="M36" s="429">
        <v>0</v>
      </c>
      <c r="N36" s="429">
        <f t="shared" si="1"/>
        <v>4491</v>
      </c>
      <c r="O36" s="429">
        <v>40</v>
      </c>
      <c r="P36" s="429">
        <v>40</v>
      </c>
      <c r="Q36" s="430">
        <f t="shared" si="5"/>
        <v>25</v>
      </c>
      <c r="R36" s="429">
        <v>146</v>
      </c>
      <c r="S36" s="159">
        <v>146</v>
      </c>
      <c r="T36" s="178">
        <v>27</v>
      </c>
      <c r="U36" s="429">
        <v>4305</v>
      </c>
      <c r="V36" s="429">
        <v>4305</v>
      </c>
      <c r="W36" s="430">
        <f>U36/V36*25</f>
        <v>25</v>
      </c>
      <c r="X36" s="429"/>
      <c r="Y36" s="429"/>
      <c r="Z36" s="429"/>
      <c r="AA36" s="434">
        <f t="shared" si="2"/>
        <v>77</v>
      </c>
      <c r="AB36" s="531"/>
    </row>
    <row r="37" spans="1:28" ht="36" x14ac:dyDescent="0.3">
      <c r="A37" s="642"/>
      <c r="B37" s="424" t="s">
        <v>310</v>
      </c>
      <c r="C37" s="424" t="s">
        <v>291</v>
      </c>
      <c r="D37" s="424" t="s">
        <v>533</v>
      </c>
      <c r="E37" s="429">
        <v>1</v>
      </c>
      <c r="F37" s="429">
        <v>1</v>
      </c>
      <c r="G37" s="429">
        <v>1</v>
      </c>
      <c r="H37" s="429">
        <v>1</v>
      </c>
      <c r="I37" s="429">
        <f t="shared" si="0"/>
        <v>4</v>
      </c>
      <c r="J37" s="429">
        <v>1</v>
      </c>
      <c r="K37" s="429">
        <v>1</v>
      </c>
      <c r="L37" s="429"/>
      <c r="M37" s="429"/>
      <c r="N37" s="429">
        <f t="shared" si="1"/>
        <v>2</v>
      </c>
      <c r="O37" s="429">
        <v>1</v>
      </c>
      <c r="P37" s="429">
        <v>1</v>
      </c>
      <c r="Q37" s="430">
        <f t="shared" si="5"/>
        <v>25</v>
      </c>
      <c r="R37" s="429">
        <v>1</v>
      </c>
      <c r="S37" s="159">
        <v>1</v>
      </c>
      <c r="T37" s="177">
        <f t="shared" si="3"/>
        <v>25</v>
      </c>
      <c r="U37" s="429"/>
      <c r="V37" s="429"/>
      <c r="W37" s="429" t="e">
        <f t="shared" si="4"/>
        <v>#DIV/0!</v>
      </c>
      <c r="X37" s="429"/>
      <c r="Y37" s="429"/>
      <c r="Z37" s="429"/>
      <c r="AA37" s="668" t="e">
        <f t="shared" si="2"/>
        <v>#DIV/0!</v>
      </c>
      <c r="AB37" s="531"/>
    </row>
    <row r="39" spans="1:28" ht="24" x14ac:dyDescent="0.3">
      <c r="B39" s="159" t="s">
        <v>121</v>
      </c>
      <c r="C39" s="172"/>
      <c r="D39" s="173" t="s">
        <v>120</v>
      </c>
      <c r="F39" s="642" t="s">
        <v>707</v>
      </c>
      <c r="G39" s="642"/>
      <c r="H39" s="642"/>
      <c r="J39" s="642" t="s">
        <v>708</v>
      </c>
      <c r="K39" s="642"/>
      <c r="L39" s="642"/>
      <c r="N39" s="642" t="s">
        <v>987</v>
      </c>
      <c r="O39" s="642"/>
      <c r="P39" s="642"/>
      <c r="R39" s="642" t="s">
        <v>709</v>
      </c>
      <c r="S39" s="642"/>
      <c r="T39" s="642"/>
    </row>
    <row r="40" spans="1:28" ht="36" x14ac:dyDescent="0.3">
      <c r="B40" s="162" t="s">
        <v>64</v>
      </c>
      <c r="D40" s="435" t="s">
        <v>117</v>
      </c>
      <c r="F40" s="159" t="s">
        <v>113</v>
      </c>
      <c r="G40" s="159">
        <v>3</v>
      </c>
      <c r="H40" s="432">
        <f>G40/31*100</f>
        <v>9.67741935483871</v>
      </c>
      <c r="J40" s="159" t="s">
        <v>113</v>
      </c>
      <c r="K40" s="159">
        <v>9</v>
      </c>
      <c r="L40" s="432">
        <f>9/35*100</f>
        <v>25.714285714285712</v>
      </c>
      <c r="N40" s="495" t="s">
        <v>113</v>
      </c>
      <c r="O40" s="495">
        <v>5</v>
      </c>
      <c r="P40" s="432">
        <f>O40/35*100</f>
        <v>14.285714285714285</v>
      </c>
      <c r="R40" s="159" t="s">
        <v>113</v>
      </c>
      <c r="S40" s="159">
        <v>14</v>
      </c>
      <c r="T40" s="432">
        <f>S40/34*100</f>
        <v>41.17647058823529</v>
      </c>
    </row>
    <row r="41" spans="1:28" ht="36" x14ac:dyDescent="0.3">
      <c r="B41" s="163" t="s">
        <v>65</v>
      </c>
      <c r="D41" s="163" t="s">
        <v>118</v>
      </c>
      <c r="F41" s="159" t="s">
        <v>114</v>
      </c>
      <c r="G41" s="159">
        <v>28</v>
      </c>
      <c r="H41" s="436">
        <f>G41/31*100</f>
        <v>90.322580645161281</v>
      </c>
      <c r="J41" s="159" t="s">
        <v>114</v>
      </c>
      <c r="K41" s="159">
        <v>24</v>
      </c>
      <c r="L41" s="436">
        <f>24/35*100</f>
        <v>68.571428571428569</v>
      </c>
      <c r="N41" s="495" t="s">
        <v>114</v>
      </c>
      <c r="O41" s="495">
        <v>26</v>
      </c>
      <c r="P41" s="436">
        <f>O41/35*100</f>
        <v>74.285714285714292</v>
      </c>
      <c r="R41" s="159" t="s">
        <v>114</v>
      </c>
      <c r="S41" s="159">
        <v>8</v>
      </c>
      <c r="T41" s="734">
        <f>S41/34*100</f>
        <v>23.52941176470588</v>
      </c>
    </row>
    <row r="42" spans="1:28" ht="36" x14ac:dyDescent="0.3">
      <c r="B42" s="164" t="s">
        <v>66</v>
      </c>
      <c r="D42" s="430" t="s">
        <v>119</v>
      </c>
      <c r="J42" s="159" t="s">
        <v>706</v>
      </c>
      <c r="K42" s="429">
        <v>2</v>
      </c>
      <c r="L42" s="437">
        <f>2/35*100</f>
        <v>5.7142857142857144</v>
      </c>
      <c r="N42" s="495" t="s">
        <v>706</v>
      </c>
      <c r="O42" s="429">
        <v>3</v>
      </c>
      <c r="P42" s="437">
        <f>O42/35*100</f>
        <v>8.5714285714285712</v>
      </c>
      <c r="R42" s="159" t="s">
        <v>706</v>
      </c>
      <c r="S42" s="429">
        <v>12</v>
      </c>
      <c r="T42" s="437">
        <f>S42/34*100</f>
        <v>35.294117647058826</v>
      </c>
    </row>
  </sheetData>
  <mergeCells count="19">
    <mergeCell ref="F39:H39"/>
    <mergeCell ref="A28:A30"/>
    <mergeCell ref="A32:A37"/>
    <mergeCell ref="E1:I1"/>
    <mergeCell ref="J1:M1"/>
    <mergeCell ref="A1:A2"/>
    <mergeCell ref="B1:B2"/>
    <mergeCell ref="C1:D1"/>
    <mergeCell ref="A3:A11"/>
    <mergeCell ref="A15:A22"/>
    <mergeCell ref="A23:A26"/>
    <mergeCell ref="J39:L39"/>
    <mergeCell ref="R39:T39"/>
    <mergeCell ref="U1:W1"/>
    <mergeCell ref="X1:Z1"/>
    <mergeCell ref="AA1:AA2"/>
    <mergeCell ref="O1:Q1"/>
    <mergeCell ref="R1:T1"/>
    <mergeCell ref="N39:P39"/>
  </mergeCells>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26"/>
  <sheetViews>
    <sheetView topLeftCell="E10" zoomScale="78" zoomScaleNormal="78" workbookViewId="0">
      <selection activeCell="U19" sqref="U19"/>
    </sheetView>
  </sheetViews>
  <sheetFormatPr baseColWidth="10" defaultRowHeight="13.8" x14ac:dyDescent="0.3"/>
  <cols>
    <col min="1" max="1" width="11.5546875" style="264"/>
    <col min="2" max="3" width="27.33203125" style="428" customWidth="1"/>
    <col min="4" max="4" width="15" style="264" customWidth="1"/>
    <col min="5" max="5" width="16.33203125" style="264" customWidth="1"/>
    <col min="6" max="26" width="11.5546875" style="264"/>
    <col min="27" max="27" width="13.88671875" style="264" customWidth="1"/>
    <col min="28" max="28" width="23.109375" style="264" customWidth="1"/>
    <col min="29" max="16384" width="11.5546875" style="264"/>
  </cols>
  <sheetData>
    <row r="1" spans="1:29" x14ac:dyDescent="0.3">
      <c r="A1" s="648" t="s">
        <v>1</v>
      </c>
      <c r="B1" s="649" t="s">
        <v>2</v>
      </c>
      <c r="C1" s="567" t="s">
        <v>3</v>
      </c>
      <c r="D1" s="567"/>
      <c r="E1" s="568" t="s">
        <v>5</v>
      </c>
      <c r="F1" s="568"/>
      <c r="G1" s="568"/>
      <c r="H1" s="568"/>
      <c r="I1" s="568"/>
      <c r="J1" s="564" t="s">
        <v>6</v>
      </c>
      <c r="K1" s="564"/>
      <c r="L1" s="564"/>
      <c r="M1" s="564"/>
      <c r="N1" s="305"/>
      <c r="O1" s="567" t="s">
        <v>56</v>
      </c>
      <c r="P1" s="567"/>
      <c r="Q1" s="567"/>
      <c r="R1" s="567" t="s">
        <v>57</v>
      </c>
      <c r="S1" s="567"/>
      <c r="T1" s="567"/>
      <c r="U1" s="567" t="s">
        <v>58</v>
      </c>
      <c r="V1" s="567"/>
      <c r="W1" s="567"/>
      <c r="X1" s="567" t="s">
        <v>59</v>
      </c>
      <c r="Y1" s="567"/>
      <c r="Z1" s="567"/>
      <c r="AA1" s="564" t="s">
        <v>60</v>
      </c>
    </row>
    <row r="2" spans="1:29" ht="27.6" x14ac:dyDescent="0.3">
      <c r="A2" s="648"/>
      <c r="B2" s="649"/>
      <c r="C2" s="427" t="s">
        <v>7</v>
      </c>
      <c r="D2" s="307" t="s">
        <v>8</v>
      </c>
      <c r="E2" s="308" t="s">
        <v>13</v>
      </c>
      <c r="F2" s="308" t="s">
        <v>15</v>
      </c>
      <c r="G2" s="308" t="s">
        <v>17</v>
      </c>
      <c r="H2" s="308" t="s">
        <v>18</v>
      </c>
      <c r="I2" s="230" t="s">
        <v>55</v>
      </c>
      <c r="J2" s="231" t="s">
        <v>13</v>
      </c>
      <c r="K2" s="305" t="s">
        <v>15</v>
      </c>
      <c r="L2" s="305" t="s">
        <v>17</v>
      </c>
      <c r="M2" s="305" t="s">
        <v>18</v>
      </c>
      <c r="N2" s="305" t="s">
        <v>61</v>
      </c>
      <c r="O2" s="307" t="s">
        <v>9</v>
      </c>
      <c r="P2" s="307" t="s">
        <v>10</v>
      </c>
      <c r="Q2" s="307" t="s">
        <v>11</v>
      </c>
      <c r="R2" s="307" t="s">
        <v>9</v>
      </c>
      <c r="S2" s="307" t="s">
        <v>10</v>
      </c>
      <c r="T2" s="307" t="s">
        <v>11</v>
      </c>
      <c r="U2" s="307" t="s">
        <v>9</v>
      </c>
      <c r="V2" s="307" t="s">
        <v>10</v>
      </c>
      <c r="W2" s="307" t="s">
        <v>11</v>
      </c>
      <c r="X2" s="307" t="s">
        <v>9</v>
      </c>
      <c r="Y2" s="307" t="s">
        <v>10</v>
      </c>
      <c r="Z2" s="307" t="s">
        <v>11</v>
      </c>
      <c r="AA2" s="564"/>
      <c r="AB2" s="84" t="s">
        <v>562</v>
      </c>
    </row>
    <row r="3" spans="1:29" ht="79.2" x14ac:dyDescent="0.3">
      <c r="A3" s="647" t="s">
        <v>534</v>
      </c>
      <c r="B3" s="506" t="s">
        <v>535</v>
      </c>
      <c r="C3" s="507" t="s">
        <v>536</v>
      </c>
      <c r="D3" s="500" t="s">
        <v>537</v>
      </c>
      <c r="E3" s="502">
        <v>0</v>
      </c>
      <c r="F3" s="502">
        <v>50</v>
      </c>
      <c r="G3" s="502">
        <v>0</v>
      </c>
      <c r="H3" s="502">
        <v>50</v>
      </c>
      <c r="I3" s="502">
        <f>E3+F3+G3+H3</f>
        <v>100</v>
      </c>
      <c r="J3" s="502">
        <v>0</v>
      </c>
      <c r="K3" s="502">
        <v>0</v>
      </c>
      <c r="L3" s="502">
        <v>0</v>
      </c>
      <c r="M3" s="502"/>
      <c r="N3" s="502">
        <f>J3+K3+L3+M3</f>
        <v>0</v>
      </c>
      <c r="O3" s="502">
        <v>0</v>
      </c>
      <c r="P3" s="502">
        <v>0</v>
      </c>
      <c r="Q3" s="270">
        <v>25</v>
      </c>
      <c r="R3" s="502">
        <v>0</v>
      </c>
      <c r="S3" s="502">
        <v>50</v>
      </c>
      <c r="T3" s="265">
        <v>0</v>
      </c>
      <c r="U3" s="502">
        <v>0</v>
      </c>
      <c r="V3" s="502">
        <v>0</v>
      </c>
      <c r="W3" s="270">
        <v>25</v>
      </c>
      <c r="X3" s="502"/>
      <c r="Y3" s="502"/>
      <c r="Z3" s="502"/>
      <c r="AA3" s="265">
        <f>Z3+W3+T3+Q3</f>
        <v>50</v>
      </c>
      <c r="AB3" s="82" t="s">
        <v>563</v>
      </c>
    </row>
    <row r="4" spans="1:29" ht="79.2" x14ac:dyDescent="0.3">
      <c r="A4" s="647"/>
      <c r="B4" s="506" t="s">
        <v>538</v>
      </c>
      <c r="C4" s="507" t="s">
        <v>536</v>
      </c>
      <c r="D4" s="500" t="s">
        <v>537</v>
      </c>
      <c r="E4" s="502">
        <v>0</v>
      </c>
      <c r="F4" s="502">
        <v>50</v>
      </c>
      <c r="G4" s="502">
        <v>0</v>
      </c>
      <c r="H4" s="502">
        <v>50</v>
      </c>
      <c r="I4" s="502">
        <f t="shared" ref="I4:I13" si="0">E4+F4+G4+H4</f>
        <v>100</v>
      </c>
      <c r="J4" s="502">
        <v>0</v>
      </c>
      <c r="K4" s="502">
        <v>0</v>
      </c>
      <c r="L4" s="502">
        <v>46</v>
      </c>
      <c r="M4" s="502"/>
      <c r="N4" s="502">
        <f t="shared" ref="N4:N16" si="1">J4+K4+L4+M4</f>
        <v>46</v>
      </c>
      <c r="O4" s="502">
        <v>0</v>
      </c>
      <c r="P4" s="502">
        <v>0</v>
      </c>
      <c r="Q4" s="270">
        <v>25</v>
      </c>
      <c r="R4" s="502">
        <v>0</v>
      </c>
      <c r="S4" s="502">
        <v>50</v>
      </c>
      <c r="T4" s="265">
        <v>0</v>
      </c>
      <c r="U4" s="502">
        <v>46</v>
      </c>
      <c r="V4" s="502">
        <v>0</v>
      </c>
      <c r="W4" s="270">
        <v>25</v>
      </c>
      <c r="X4" s="502"/>
      <c r="Y4" s="502"/>
      <c r="Z4" s="502"/>
      <c r="AA4" s="265">
        <f t="shared" ref="AA4:AA16" si="2">Z4+W4+T4+Q4</f>
        <v>50</v>
      </c>
      <c r="AB4" s="82" t="s">
        <v>564</v>
      </c>
    </row>
    <row r="5" spans="1:29" ht="45.6" x14ac:dyDescent="0.3">
      <c r="A5" s="647"/>
      <c r="B5" s="506" t="s">
        <v>539</v>
      </c>
      <c r="C5" s="507" t="s">
        <v>540</v>
      </c>
      <c r="D5" s="500" t="s">
        <v>565</v>
      </c>
      <c r="E5" s="502">
        <v>0</v>
      </c>
      <c r="F5" s="502">
        <v>1</v>
      </c>
      <c r="G5" s="502">
        <v>1</v>
      </c>
      <c r="H5" s="502">
        <v>1</v>
      </c>
      <c r="I5" s="502">
        <f t="shared" si="0"/>
        <v>3</v>
      </c>
      <c r="J5" s="502">
        <v>0</v>
      </c>
      <c r="K5" s="502">
        <v>0</v>
      </c>
      <c r="L5" s="502">
        <v>0</v>
      </c>
      <c r="M5" s="502"/>
      <c r="N5" s="502">
        <f t="shared" si="1"/>
        <v>0</v>
      </c>
      <c r="O5" s="502">
        <v>0</v>
      </c>
      <c r="P5" s="502">
        <v>0</v>
      </c>
      <c r="Q5" s="270">
        <v>25</v>
      </c>
      <c r="R5" s="502">
        <v>0</v>
      </c>
      <c r="S5" s="502">
        <v>1</v>
      </c>
      <c r="T5" s="265">
        <v>0</v>
      </c>
      <c r="U5" s="502">
        <v>0</v>
      </c>
      <c r="V5" s="502">
        <v>1</v>
      </c>
      <c r="W5" s="265">
        <f t="shared" ref="W5:W16" si="3">U5/V5*25</f>
        <v>0</v>
      </c>
      <c r="X5" s="502"/>
      <c r="Y5" s="502"/>
      <c r="Z5" s="502"/>
      <c r="AA5" s="265">
        <f t="shared" si="2"/>
        <v>25</v>
      </c>
      <c r="AB5" s="502"/>
    </row>
    <row r="6" spans="1:29" ht="52.8" x14ac:dyDescent="0.3">
      <c r="A6" s="647"/>
      <c r="B6" s="508" t="s">
        <v>541</v>
      </c>
      <c r="C6" s="507" t="s">
        <v>542</v>
      </c>
      <c r="D6" s="500" t="s">
        <v>543</v>
      </c>
      <c r="E6" s="502">
        <v>1</v>
      </c>
      <c r="F6" s="502">
        <v>1</v>
      </c>
      <c r="G6" s="502">
        <v>1</v>
      </c>
      <c r="H6" s="502">
        <v>1</v>
      </c>
      <c r="I6" s="502">
        <f t="shared" si="0"/>
        <v>4</v>
      </c>
      <c r="J6" s="502">
        <v>4</v>
      </c>
      <c r="K6" s="502">
        <v>3</v>
      </c>
      <c r="L6" s="502">
        <v>6</v>
      </c>
      <c r="M6" s="502"/>
      <c r="N6" s="502">
        <f t="shared" si="1"/>
        <v>13</v>
      </c>
      <c r="O6" s="502">
        <v>4</v>
      </c>
      <c r="P6" s="502">
        <v>1</v>
      </c>
      <c r="Q6" s="270">
        <f>(O6/P6)*25</f>
        <v>100</v>
      </c>
      <c r="R6" s="502">
        <v>3</v>
      </c>
      <c r="S6" s="502">
        <v>1</v>
      </c>
      <c r="T6" s="270">
        <f>(R6/S6)*25</f>
        <v>75</v>
      </c>
      <c r="U6" s="502">
        <v>6</v>
      </c>
      <c r="V6" s="502">
        <v>1</v>
      </c>
      <c r="W6" s="270">
        <f t="shared" si="3"/>
        <v>150</v>
      </c>
      <c r="X6" s="502"/>
      <c r="Y6" s="502"/>
      <c r="Z6" s="502"/>
      <c r="AA6" s="270">
        <f>Z6+W6+T6+Q6</f>
        <v>325</v>
      </c>
      <c r="AB6" s="502"/>
    </row>
    <row r="7" spans="1:29" ht="105.6" x14ac:dyDescent="0.3">
      <c r="A7" s="647"/>
      <c r="B7" s="506" t="s">
        <v>567</v>
      </c>
      <c r="C7" s="507" t="s">
        <v>544</v>
      </c>
      <c r="D7" s="500" t="s">
        <v>566</v>
      </c>
      <c r="E7" s="502">
        <v>1</v>
      </c>
      <c r="F7" s="502">
        <v>0</v>
      </c>
      <c r="G7" s="502">
        <v>0</v>
      </c>
      <c r="H7" s="502">
        <v>0</v>
      </c>
      <c r="I7" s="502">
        <f t="shared" si="0"/>
        <v>1</v>
      </c>
      <c r="J7" s="502">
        <v>1</v>
      </c>
      <c r="K7" s="502">
        <v>0</v>
      </c>
      <c r="L7" s="502">
        <v>1</v>
      </c>
      <c r="M7" s="502"/>
      <c r="N7" s="502">
        <f t="shared" si="1"/>
        <v>2</v>
      </c>
      <c r="O7" s="502">
        <v>1</v>
      </c>
      <c r="P7" s="502">
        <v>1</v>
      </c>
      <c r="Q7" s="270">
        <v>25</v>
      </c>
      <c r="R7" s="502">
        <v>0</v>
      </c>
      <c r="S7" s="502">
        <v>0</v>
      </c>
      <c r="T7" s="270">
        <v>25</v>
      </c>
      <c r="U7" s="502">
        <v>1</v>
      </c>
      <c r="V7" s="502">
        <v>0</v>
      </c>
      <c r="W7" s="270">
        <v>25</v>
      </c>
      <c r="X7" s="502"/>
      <c r="Y7" s="502"/>
      <c r="Z7" s="502"/>
      <c r="AA7" s="270">
        <f t="shared" si="2"/>
        <v>75</v>
      </c>
      <c r="AB7" s="502"/>
    </row>
    <row r="8" spans="1:29" ht="70.2" customHeight="1" x14ac:dyDescent="0.3">
      <c r="A8" s="647"/>
      <c r="B8" s="508" t="s">
        <v>545</v>
      </c>
      <c r="C8" s="507" t="s">
        <v>546</v>
      </c>
      <c r="D8" s="500" t="s">
        <v>547</v>
      </c>
      <c r="E8" s="502">
        <v>1</v>
      </c>
      <c r="F8" s="502">
        <v>4</v>
      </c>
      <c r="G8" s="502">
        <v>4</v>
      </c>
      <c r="H8" s="502">
        <v>4</v>
      </c>
      <c r="I8" s="502">
        <f t="shared" si="0"/>
        <v>13</v>
      </c>
      <c r="J8" s="502">
        <v>1</v>
      </c>
      <c r="K8" s="502">
        <v>133</v>
      </c>
      <c r="L8" s="502">
        <v>12</v>
      </c>
      <c r="M8" s="502"/>
      <c r="N8" s="502">
        <f t="shared" si="1"/>
        <v>146</v>
      </c>
      <c r="O8" s="502">
        <v>1</v>
      </c>
      <c r="P8" s="502">
        <v>1</v>
      </c>
      <c r="Q8" s="270">
        <f t="shared" ref="Q8:Q15" si="4">O8/P8*25</f>
        <v>25</v>
      </c>
      <c r="R8" s="502">
        <v>133</v>
      </c>
      <c r="S8" s="502">
        <v>4</v>
      </c>
      <c r="T8" s="503">
        <f>(R8/S8)*25</f>
        <v>831.25</v>
      </c>
      <c r="U8" s="502">
        <v>12</v>
      </c>
      <c r="V8" s="502">
        <v>4</v>
      </c>
      <c r="W8" s="270">
        <f t="shared" si="3"/>
        <v>75</v>
      </c>
      <c r="X8" s="502"/>
      <c r="Y8" s="502"/>
      <c r="Z8" s="502"/>
      <c r="AA8" s="503">
        <f t="shared" si="2"/>
        <v>931.25</v>
      </c>
      <c r="AB8" s="502"/>
    </row>
    <row r="9" spans="1:29" ht="84" customHeight="1" x14ac:dyDescent="0.3">
      <c r="A9" s="647"/>
      <c r="B9" s="508" t="s">
        <v>548</v>
      </c>
      <c r="C9" s="507" t="s">
        <v>549</v>
      </c>
      <c r="D9" s="500" t="s">
        <v>550</v>
      </c>
      <c r="E9" s="502">
        <v>1</v>
      </c>
      <c r="F9" s="502">
        <v>0</v>
      </c>
      <c r="G9" s="502">
        <v>2</v>
      </c>
      <c r="H9" s="502">
        <v>0</v>
      </c>
      <c r="I9" s="502">
        <f t="shared" si="0"/>
        <v>3</v>
      </c>
      <c r="J9" s="502">
        <v>1</v>
      </c>
      <c r="K9" s="502">
        <v>0</v>
      </c>
      <c r="L9" s="502">
        <v>1</v>
      </c>
      <c r="M9" s="502"/>
      <c r="N9" s="502">
        <f t="shared" si="1"/>
        <v>2</v>
      </c>
      <c r="O9" s="502">
        <v>1</v>
      </c>
      <c r="P9" s="502">
        <v>1</v>
      </c>
      <c r="Q9" s="270">
        <f t="shared" si="4"/>
        <v>25</v>
      </c>
      <c r="R9" s="502">
        <v>0</v>
      </c>
      <c r="S9" s="502">
        <v>0</v>
      </c>
      <c r="T9" s="270">
        <v>25</v>
      </c>
      <c r="U9" s="502">
        <v>1</v>
      </c>
      <c r="V9" s="502">
        <v>2</v>
      </c>
      <c r="W9" s="512">
        <f t="shared" si="3"/>
        <v>12.5</v>
      </c>
      <c r="X9" s="502"/>
      <c r="Y9" s="502"/>
      <c r="Z9" s="502"/>
      <c r="AA9" s="512">
        <f t="shared" si="2"/>
        <v>62.5</v>
      </c>
      <c r="AB9" s="82" t="s">
        <v>568</v>
      </c>
    </row>
    <row r="10" spans="1:29" ht="45.6" x14ac:dyDescent="0.3">
      <c r="A10" s="647"/>
      <c r="B10" s="509" t="s">
        <v>551</v>
      </c>
      <c r="C10" s="510" t="s">
        <v>552</v>
      </c>
      <c r="D10" s="82" t="s">
        <v>569</v>
      </c>
      <c r="E10" s="502">
        <v>2</v>
      </c>
      <c r="F10" s="502">
        <v>2</v>
      </c>
      <c r="G10" s="502">
        <v>0</v>
      </c>
      <c r="H10" s="502">
        <v>0</v>
      </c>
      <c r="I10" s="502">
        <f t="shared" si="0"/>
        <v>4</v>
      </c>
      <c r="J10" s="502">
        <v>2</v>
      </c>
      <c r="K10" s="502">
        <v>1</v>
      </c>
      <c r="L10" s="502">
        <v>0</v>
      </c>
      <c r="M10" s="502"/>
      <c r="N10" s="502">
        <f t="shared" si="1"/>
        <v>3</v>
      </c>
      <c r="O10" s="502">
        <v>2</v>
      </c>
      <c r="P10" s="502">
        <v>2</v>
      </c>
      <c r="Q10" s="270">
        <f t="shared" si="4"/>
        <v>25</v>
      </c>
      <c r="R10" s="502">
        <v>1</v>
      </c>
      <c r="S10" s="502">
        <v>2</v>
      </c>
      <c r="T10" s="512">
        <f>(R10/S10)*25</f>
        <v>12.5</v>
      </c>
      <c r="U10" s="502">
        <v>0</v>
      </c>
      <c r="V10" s="502">
        <v>0</v>
      </c>
      <c r="W10" s="270">
        <v>25</v>
      </c>
      <c r="X10" s="502"/>
      <c r="Y10" s="502"/>
      <c r="Z10" s="502"/>
      <c r="AA10" s="512">
        <f t="shared" si="2"/>
        <v>62.5</v>
      </c>
      <c r="AB10" s="502"/>
    </row>
    <row r="11" spans="1:29" ht="78" customHeight="1" x14ac:dyDescent="0.3">
      <c r="A11" s="647"/>
      <c r="B11" s="509" t="s">
        <v>553</v>
      </c>
      <c r="C11" s="507" t="s">
        <v>542</v>
      </c>
      <c r="D11" s="500" t="s">
        <v>570</v>
      </c>
      <c r="E11" s="502">
        <v>0</v>
      </c>
      <c r="F11" s="502">
        <v>1</v>
      </c>
      <c r="G11" s="502">
        <v>1</v>
      </c>
      <c r="H11" s="502">
        <v>1</v>
      </c>
      <c r="I11" s="502">
        <f t="shared" si="0"/>
        <v>3</v>
      </c>
      <c r="J11" s="502">
        <v>0</v>
      </c>
      <c r="K11" s="502">
        <v>5</v>
      </c>
      <c r="L11" s="502">
        <v>11</v>
      </c>
      <c r="M11" s="502"/>
      <c r="N11" s="502">
        <f t="shared" si="1"/>
        <v>16</v>
      </c>
      <c r="O11" s="502">
        <v>0</v>
      </c>
      <c r="P11" s="502">
        <v>0</v>
      </c>
      <c r="Q11" s="270">
        <v>25</v>
      </c>
      <c r="R11" s="502">
        <v>5</v>
      </c>
      <c r="S11" s="502">
        <v>1</v>
      </c>
      <c r="T11" s="270">
        <f>(R11/S11)*25</f>
        <v>125</v>
      </c>
      <c r="U11" s="502">
        <v>11</v>
      </c>
      <c r="V11" s="502">
        <v>1</v>
      </c>
      <c r="W11" s="270">
        <f t="shared" si="3"/>
        <v>275</v>
      </c>
      <c r="X11" s="502"/>
      <c r="Y11" s="502"/>
      <c r="Z11" s="502"/>
      <c r="AA11" s="270">
        <f t="shared" si="2"/>
        <v>425</v>
      </c>
      <c r="AB11" s="500" t="s">
        <v>723</v>
      </c>
      <c r="AC11" s="264" t="s">
        <v>724</v>
      </c>
    </row>
    <row r="12" spans="1:29" ht="45.6" x14ac:dyDescent="0.3">
      <c r="A12" s="647"/>
      <c r="B12" s="509" t="s">
        <v>554</v>
      </c>
      <c r="C12" s="510" t="s">
        <v>555</v>
      </c>
      <c r="D12" s="82" t="s">
        <v>571</v>
      </c>
      <c r="E12" s="502">
        <v>0</v>
      </c>
      <c r="F12" s="502">
        <v>20</v>
      </c>
      <c r="G12" s="502">
        <v>100</v>
      </c>
      <c r="H12" s="502">
        <v>100</v>
      </c>
      <c r="I12" s="502">
        <f t="shared" si="0"/>
        <v>220</v>
      </c>
      <c r="J12" s="502">
        <v>1</v>
      </c>
      <c r="K12" s="502">
        <v>5</v>
      </c>
      <c r="L12" s="502">
        <v>184</v>
      </c>
      <c r="M12" s="502"/>
      <c r="N12" s="502">
        <f t="shared" si="1"/>
        <v>190</v>
      </c>
      <c r="O12" s="502">
        <v>1</v>
      </c>
      <c r="P12" s="502">
        <v>0</v>
      </c>
      <c r="Q12" s="270">
        <v>25</v>
      </c>
      <c r="R12" s="502">
        <v>5</v>
      </c>
      <c r="S12" s="502">
        <v>3</v>
      </c>
      <c r="T12" s="503">
        <f>(R12/S12)*25</f>
        <v>41.666666666666671</v>
      </c>
      <c r="U12" s="502">
        <v>184</v>
      </c>
      <c r="V12" s="502">
        <v>3</v>
      </c>
      <c r="W12" s="503">
        <f t="shared" si="3"/>
        <v>1533.3333333333335</v>
      </c>
      <c r="X12" s="502"/>
      <c r="Y12" s="502"/>
      <c r="Z12" s="502"/>
      <c r="AA12" s="503">
        <f>Q12+T12+W12+Z12</f>
        <v>1600.0000000000002</v>
      </c>
      <c r="AB12" s="502"/>
    </row>
    <row r="13" spans="1:29" ht="54" customHeight="1" x14ac:dyDescent="0.3">
      <c r="A13" s="647"/>
      <c r="B13" s="509" t="s">
        <v>556</v>
      </c>
      <c r="C13" s="510" t="s">
        <v>572</v>
      </c>
      <c r="D13" s="82" t="s">
        <v>573</v>
      </c>
      <c r="E13" s="502">
        <v>9</v>
      </c>
      <c r="F13" s="502">
        <v>0</v>
      </c>
      <c r="G13" s="502"/>
      <c r="H13" s="502"/>
      <c r="I13" s="502">
        <f t="shared" si="0"/>
        <v>9</v>
      </c>
      <c r="J13" s="502">
        <v>9</v>
      </c>
      <c r="K13" s="502">
        <v>0</v>
      </c>
      <c r="L13" s="502">
        <v>7</v>
      </c>
      <c r="M13" s="502"/>
      <c r="N13" s="502">
        <f t="shared" si="1"/>
        <v>16</v>
      </c>
      <c r="O13" s="502">
        <v>9</v>
      </c>
      <c r="P13" s="502">
        <v>9</v>
      </c>
      <c r="Q13" s="270">
        <f t="shared" si="4"/>
        <v>25</v>
      </c>
      <c r="R13" s="502">
        <v>0</v>
      </c>
      <c r="S13" s="502">
        <v>0</v>
      </c>
      <c r="T13" s="270">
        <v>25</v>
      </c>
      <c r="U13" s="502">
        <v>7</v>
      </c>
      <c r="V13" s="502">
        <v>7</v>
      </c>
      <c r="W13" s="270">
        <f t="shared" si="3"/>
        <v>25</v>
      </c>
      <c r="X13" s="502"/>
      <c r="Y13" s="502"/>
      <c r="Z13" s="502"/>
      <c r="AA13" s="513">
        <f t="shared" si="2"/>
        <v>75</v>
      </c>
      <c r="AB13" s="306" t="s">
        <v>692</v>
      </c>
    </row>
    <row r="14" spans="1:29" s="505" customFormat="1" ht="57" x14ac:dyDescent="0.3">
      <c r="A14" s="647"/>
      <c r="B14" s="509" t="s">
        <v>557</v>
      </c>
      <c r="C14" s="511" t="s">
        <v>574</v>
      </c>
      <c r="D14" s="501" t="s">
        <v>575</v>
      </c>
      <c r="E14" s="504">
        <v>0</v>
      </c>
      <c r="F14" s="504">
        <v>0</v>
      </c>
      <c r="G14" s="504">
        <v>1</v>
      </c>
      <c r="H14" s="504">
        <v>0</v>
      </c>
      <c r="I14" s="502">
        <f>E14+F14+G14+H14</f>
        <v>1</v>
      </c>
      <c r="J14" s="504">
        <v>0</v>
      </c>
      <c r="K14" s="504">
        <v>0</v>
      </c>
      <c r="L14" s="504">
        <v>0.3</v>
      </c>
      <c r="M14" s="504"/>
      <c r="N14" s="502">
        <f t="shared" si="1"/>
        <v>0.3</v>
      </c>
      <c r="O14" s="504">
        <v>0</v>
      </c>
      <c r="P14" s="504">
        <v>0</v>
      </c>
      <c r="Q14" s="270">
        <v>25</v>
      </c>
      <c r="R14" s="504">
        <v>0</v>
      </c>
      <c r="S14" s="504">
        <v>0</v>
      </c>
      <c r="T14" s="270">
        <v>25</v>
      </c>
      <c r="U14" s="504">
        <v>0.3</v>
      </c>
      <c r="V14" s="504">
        <v>1</v>
      </c>
      <c r="W14" s="512">
        <f t="shared" si="3"/>
        <v>7.5</v>
      </c>
      <c r="X14" s="504"/>
      <c r="Y14" s="504"/>
      <c r="Z14" s="504"/>
      <c r="AA14" s="512">
        <f t="shared" si="2"/>
        <v>57.5</v>
      </c>
      <c r="AB14" s="504"/>
    </row>
    <row r="15" spans="1:29" ht="57" x14ac:dyDescent="0.3">
      <c r="A15" s="647"/>
      <c r="B15" s="509" t="s">
        <v>558</v>
      </c>
      <c r="C15" s="510" t="s">
        <v>576</v>
      </c>
      <c r="D15" s="82" t="s">
        <v>577</v>
      </c>
      <c r="E15" s="502">
        <v>2</v>
      </c>
      <c r="F15" s="502">
        <v>1</v>
      </c>
      <c r="G15" s="502">
        <v>3</v>
      </c>
      <c r="H15" s="502"/>
      <c r="I15" s="502">
        <f t="shared" ref="I15:I16" si="5">E15+F15+G15+H15</f>
        <v>6</v>
      </c>
      <c r="J15" s="502">
        <v>2</v>
      </c>
      <c r="K15" s="502">
        <v>1</v>
      </c>
      <c r="L15" s="502">
        <v>3</v>
      </c>
      <c r="M15" s="502"/>
      <c r="N15" s="502">
        <f t="shared" si="1"/>
        <v>6</v>
      </c>
      <c r="O15" s="502">
        <v>2</v>
      </c>
      <c r="P15" s="502">
        <v>2</v>
      </c>
      <c r="Q15" s="270">
        <f t="shared" si="4"/>
        <v>25</v>
      </c>
      <c r="R15" s="502">
        <v>1</v>
      </c>
      <c r="S15" s="502">
        <v>1</v>
      </c>
      <c r="T15" s="270">
        <v>25</v>
      </c>
      <c r="U15" s="502">
        <v>3</v>
      </c>
      <c r="V15" s="502">
        <v>3</v>
      </c>
      <c r="W15" s="270">
        <f t="shared" si="3"/>
        <v>25</v>
      </c>
      <c r="X15" s="502"/>
      <c r="Y15" s="502"/>
      <c r="Z15" s="502"/>
      <c r="AA15" s="513">
        <f t="shared" si="2"/>
        <v>75</v>
      </c>
      <c r="AB15" s="82" t="s">
        <v>559</v>
      </c>
    </row>
    <row r="16" spans="1:29" ht="57" x14ac:dyDescent="0.3">
      <c r="A16" s="647"/>
      <c r="B16" s="509" t="s">
        <v>560</v>
      </c>
      <c r="C16" s="510" t="s">
        <v>561</v>
      </c>
      <c r="D16" s="82" t="s">
        <v>579</v>
      </c>
      <c r="E16" s="502">
        <v>0</v>
      </c>
      <c r="F16" s="502">
        <v>0</v>
      </c>
      <c r="G16" s="502">
        <v>55</v>
      </c>
      <c r="H16" s="502">
        <v>55</v>
      </c>
      <c r="I16" s="502">
        <f t="shared" si="5"/>
        <v>110</v>
      </c>
      <c r="J16" s="502">
        <v>0</v>
      </c>
      <c r="K16" s="502">
        <v>0</v>
      </c>
      <c r="L16" s="502">
        <v>20</v>
      </c>
      <c r="M16" s="502"/>
      <c r="N16" s="502">
        <f t="shared" si="1"/>
        <v>20</v>
      </c>
      <c r="O16" s="502">
        <v>0</v>
      </c>
      <c r="P16" s="502">
        <v>0</v>
      </c>
      <c r="Q16" s="270">
        <v>25</v>
      </c>
      <c r="R16" s="502">
        <v>0</v>
      </c>
      <c r="S16" s="502">
        <v>0</v>
      </c>
      <c r="T16" s="270">
        <v>25</v>
      </c>
      <c r="U16" s="502">
        <v>20</v>
      </c>
      <c r="V16" s="502">
        <v>55</v>
      </c>
      <c r="W16" s="512">
        <f t="shared" si="3"/>
        <v>9.0909090909090917</v>
      </c>
      <c r="X16" s="502"/>
      <c r="Y16" s="502"/>
      <c r="Z16" s="502"/>
      <c r="AA16" s="512">
        <f t="shared" si="2"/>
        <v>59.090909090909093</v>
      </c>
      <c r="AB16" s="82" t="s">
        <v>578</v>
      </c>
    </row>
    <row r="18" spans="3:17" ht="27.6" x14ac:dyDescent="0.3">
      <c r="C18" s="423" t="s">
        <v>121</v>
      </c>
      <c r="D18" s="261"/>
      <c r="E18" s="262" t="s">
        <v>120</v>
      </c>
      <c r="G18" s="565" t="s">
        <v>116</v>
      </c>
      <c r="H18" s="565"/>
      <c r="I18" s="565"/>
      <c r="K18" s="565" t="s">
        <v>795</v>
      </c>
      <c r="L18" s="565"/>
      <c r="M18" s="565"/>
      <c r="O18" s="565" t="s">
        <v>986</v>
      </c>
      <c r="P18" s="565"/>
      <c r="Q18" s="565"/>
    </row>
    <row r="19" spans="3:17" ht="41.4" x14ac:dyDescent="0.3">
      <c r="C19" s="162" t="s">
        <v>64</v>
      </c>
      <c r="E19" s="265" t="s">
        <v>117</v>
      </c>
      <c r="G19" s="306" t="s">
        <v>113</v>
      </c>
      <c r="H19" s="306">
        <v>7</v>
      </c>
      <c r="I19" s="266">
        <f>7/14*100</f>
        <v>50</v>
      </c>
      <c r="K19" s="306" t="s">
        <v>113</v>
      </c>
      <c r="L19" s="306">
        <v>4</v>
      </c>
      <c r="M19" s="266">
        <f>4/14*100</f>
        <v>28.571428571428569</v>
      </c>
      <c r="O19" s="490" t="s">
        <v>113</v>
      </c>
      <c r="P19" s="490">
        <v>4</v>
      </c>
      <c r="Q19" s="512">
        <f>4/14*100</f>
        <v>28.571428571428569</v>
      </c>
    </row>
    <row r="20" spans="3:17" ht="41.4" x14ac:dyDescent="0.3">
      <c r="C20" s="163" t="s">
        <v>65</v>
      </c>
      <c r="E20" s="267" t="s">
        <v>118</v>
      </c>
      <c r="G20" s="306" t="s">
        <v>114</v>
      </c>
      <c r="H20" s="306">
        <v>5</v>
      </c>
      <c r="I20" s="268">
        <f>5/14*100</f>
        <v>35.714285714285715</v>
      </c>
      <c r="K20" s="306" t="s">
        <v>114</v>
      </c>
      <c r="L20" s="306">
        <v>10</v>
      </c>
      <c r="M20" s="268">
        <f>10/14*100</f>
        <v>71.428571428571431</v>
      </c>
      <c r="O20" s="490" t="s">
        <v>114</v>
      </c>
      <c r="P20" s="490">
        <v>10</v>
      </c>
      <c r="Q20" s="268">
        <f>10/14*100</f>
        <v>71.428571428571431</v>
      </c>
    </row>
    <row r="21" spans="3:17" ht="41.4" x14ac:dyDescent="0.3">
      <c r="C21" s="164" t="s">
        <v>66</v>
      </c>
      <c r="E21" s="270" t="s">
        <v>119</v>
      </c>
      <c r="G21" s="490" t="s">
        <v>691</v>
      </c>
      <c r="H21" s="502">
        <v>2</v>
      </c>
      <c r="I21" s="700">
        <f>H21/14*100</f>
        <v>14.285714285714285</v>
      </c>
    </row>
    <row r="26" spans="3:17" ht="15" customHeight="1" x14ac:dyDescent="0.3"/>
  </sheetData>
  <mergeCells count="14">
    <mergeCell ref="A3:A16"/>
    <mergeCell ref="A1:A2"/>
    <mergeCell ref="B1:B2"/>
    <mergeCell ref="C1:D1"/>
    <mergeCell ref="E1:I1"/>
    <mergeCell ref="G18:I18"/>
    <mergeCell ref="R1:T1"/>
    <mergeCell ref="U1:W1"/>
    <mergeCell ref="X1:Z1"/>
    <mergeCell ref="AA1:AA2"/>
    <mergeCell ref="J1:M1"/>
    <mergeCell ref="O1:Q1"/>
    <mergeCell ref="K18:M18"/>
    <mergeCell ref="O18:Q18"/>
  </mergeCells>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H42"/>
  <sheetViews>
    <sheetView topLeftCell="K36" zoomScale="91" zoomScaleNormal="91" workbookViewId="0">
      <selection activeCell="Q42" sqref="Q42"/>
    </sheetView>
  </sheetViews>
  <sheetFormatPr baseColWidth="10" defaultColWidth="35.109375" defaultRowHeight="15.6" x14ac:dyDescent="0.3"/>
  <cols>
    <col min="1" max="4" width="35.109375" style="443"/>
    <col min="5" max="5" width="14" style="443" customWidth="1"/>
    <col min="6" max="6" width="11.6640625" style="443" customWidth="1"/>
    <col min="7" max="7" width="8.109375" style="443" customWidth="1"/>
    <col min="8" max="8" width="11" style="443" customWidth="1"/>
    <col min="9" max="9" width="8.77734375" style="443" customWidth="1"/>
    <col min="10" max="10" width="12.109375" style="443" customWidth="1"/>
    <col min="11" max="11" width="8.44140625" style="443" customWidth="1"/>
    <col min="12" max="12" width="9.77734375" style="443" customWidth="1"/>
    <col min="13" max="13" width="11.33203125" style="443" customWidth="1"/>
    <col min="14" max="14" width="12.21875" style="443" customWidth="1"/>
    <col min="15" max="15" width="16.88671875" style="443" customWidth="1"/>
    <col min="16" max="16" width="15.21875" style="443" customWidth="1"/>
    <col min="17" max="17" width="14.109375" style="443" customWidth="1"/>
    <col min="18" max="18" width="13" style="443" customWidth="1"/>
    <col min="19" max="19" width="13.88671875" style="443" customWidth="1"/>
    <col min="20" max="20" width="14.109375" style="443" customWidth="1"/>
    <col min="21" max="21" width="10.33203125" style="443" customWidth="1"/>
    <col min="22" max="22" width="12.21875" style="443" customWidth="1"/>
    <col min="23" max="23" width="13.6640625" style="443" customWidth="1"/>
    <col min="24" max="24" width="11.109375" style="443" customWidth="1"/>
    <col min="25" max="25" width="12.88671875" style="443" customWidth="1"/>
    <col min="26" max="26" width="13.21875" style="443" customWidth="1"/>
    <col min="27" max="27" width="21.6640625" style="443" customWidth="1"/>
    <col min="28" max="28" width="35.109375" style="443"/>
    <col min="29" max="29" width="35.109375" style="708"/>
    <col min="30" max="16384" width="35.109375" style="443"/>
  </cols>
  <sheetData>
    <row r="1" spans="1:29" x14ac:dyDescent="0.3">
      <c r="A1" s="651" t="s">
        <v>1</v>
      </c>
      <c r="B1" s="655" t="s">
        <v>2</v>
      </c>
      <c r="C1" s="656" t="s">
        <v>3</v>
      </c>
      <c r="D1" s="657"/>
      <c r="E1" s="658" t="s">
        <v>5</v>
      </c>
      <c r="F1" s="658"/>
      <c r="G1" s="658"/>
      <c r="H1" s="658"/>
      <c r="I1" s="658"/>
      <c r="J1" s="654" t="s">
        <v>6</v>
      </c>
      <c r="K1" s="654"/>
      <c r="L1" s="654"/>
      <c r="M1" s="654"/>
      <c r="N1" s="442"/>
      <c r="O1" s="653" t="s">
        <v>56</v>
      </c>
      <c r="P1" s="653"/>
      <c r="Q1" s="653"/>
      <c r="R1" s="653" t="s">
        <v>57</v>
      </c>
      <c r="S1" s="653"/>
      <c r="T1" s="653"/>
      <c r="U1" s="653" t="s">
        <v>58</v>
      </c>
      <c r="V1" s="653"/>
      <c r="W1" s="653"/>
      <c r="X1" s="653" t="s">
        <v>59</v>
      </c>
      <c r="Y1" s="653"/>
      <c r="Z1" s="653"/>
      <c r="AA1" s="654" t="s">
        <v>60</v>
      </c>
    </row>
    <row r="2" spans="1:29" ht="46.8" x14ac:dyDescent="0.3">
      <c r="A2" s="652"/>
      <c r="B2" s="655"/>
      <c r="C2" s="444" t="s">
        <v>7</v>
      </c>
      <c r="D2" s="444" t="s">
        <v>8</v>
      </c>
      <c r="E2" s="445" t="s">
        <v>13</v>
      </c>
      <c r="F2" s="445" t="s">
        <v>15</v>
      </c>
      <c r="G2" s="445" t="s">
        <v>17</v>
      </c>
      <c r="H2" s="445" t="s">
        <v>18</v>
      </c>
      <c r="I2" s="446" t="s">
        <v>55</v>
      </c>
      <c r="J2" s="447" t="s">
        <v>13</v>
      </c>
      <c r="K2" s="442" t="s">
        <v>15</v>
      </c>
      <c r="L2" s="442" t="s">
        <v>17</v>
      </c>
      <c r="M2" s="442" t="s">
        <v>18</v>
      </c>
      <c r="N2" s="442" t="s">
        <v>61</v>
      </c>
      <c r="O2" s="444" t="s">
        <v>9</v>
      </c>
      <c r="P2" s="444" t="s">
        <v>10</v>
      </c>
      <c r="Q2" s="444" t="s">
        <v>11</v>
      </c>
      <c r="R2" s="444" t="s">
        <v>9</v>
      </c>
      <c r="S2" s="444" t="s">
        <v>10</v>
      </c>
      <c r="T2" s="444" t="s">
        <v>11</v>
      </c>
      <c r="U2" s="444" t="s">
        <v>9</v>
      </c>
      <c r="V2" s="444" t="s">
        <v>10</v>
      </c>
      <c r="W2" s="444" t="s">
        <v>11</v>
      </c>
      <c r="X2" s="444" t="s">
        <v>9</v>
      </c>
      <c r="Y2" s="444" t="s">
        <v>10</v>
      </c>
      <c r="Z2" s="444" t="s">
        <v>11</v>
      </c>
      <c r="AA2" s="654"/>
      <c r="AB2" s="448" t="s">
        <v>122</v>
      </c>
      <c r="AC2" s="448" t="s">
        <v>988</v>
      </c>
    </row>
    <row r="3" spans="1:29" ht="99.6" customHeight="1" x14ac:dyDescent="0.3">
      <c r="A3" s="415" t="s">
        <v>583</v>
      </c>
      <c r="B3" s="415" t="s">
        <v>584</v>
      </c>
      <c r="C3" s="415" t="s">
        <v>585</v>
      </c>
      <c r="D3" s="415" t="s">
        <v>586</v>
      </c>
      <c r="E3" s="449">
        <v>0</v>
      </c>
      <c r="F3" s="449">
        <v>0</v>
      </c>
      <c r="G3" s="449">
        <v>40</v>
      </c>
      <c r="H3" s="449">
        <v>63</v>
      </c>
      <c r="I3" s="450">
        <f>E3+F3+G3+H3</f>
        <v>103</v>
      </c>
      <c r="J3" s="449">
        <v>0</v>
      </c>
      <c r="K3" s="449">
        <v>0</v>
      </c>
      <c r="L3" s="449">
        <v>42</v>
      </c>
      <c r="M3" s="449"/>
      <c r="N3" s="449">
        <f>J3+K3+L3+M3</f>
        <v>42</v>
      </c>
      <c r="O3" s="449">
        <v>0</v>
      </c>
      <c r="P3" s="449">
        <v>0</v>
      </c>
      <c r="Q3" s="451">
        <v>25</v>
      </c>
      <c r="R3" s="452">
        <v>0</v>
      </c>
      <c r="S3" s="453">
        <v>0</v>
      </c>
      <c r="T3" s="451">
        <v>25</v>
      </c>
      <c r="U3" s="449">
        <v>42</v>
      </c>
      <c r="V3" s="449">
        <v>40</v>
      </c>
      <c r="W3" s="465">
        <f>U3/V3*25</f>
        <v>26.25</v>
      </c>
      <c r="X3" s="449"/>
      <c r="Y3" s="449"/>
      <c r="Z3" s="449"/>
      <c r="AA3" s="464">
        <f>Q3+T3+W3+Z3</f>
        <v>76.25</v>
      </c>
      <c r="AB3" s="455" t="s">
        <v>665</v>
      </c>
      <c r="AC3" s="709" t="s">
        <v>977</v>
      </c>
    </row>
    <row r="4" spans="1:29" ht="72" customHeight="1" x14ac:dyDescent="0.3">
      <c r="A4" s="415" t="s">
        <v>583</v>
      </c>
      <c r="B4" s="415" t="s">
        <v>587</v>
      </c>
      <c r="C4" s="415" t="s">
        <v>588</v>
      </c>
      <c r="D4" s="415" t="s">
        <v>589</v>
      </c>
      <c r="E4" s="449">
        <v>0</v>
      </c>
      <c r="F4" s="449">
        <v>30</v>
      </c>
      <c r="G4" s="449">
        <v>20</v>
      </c>
      <c r="H4" s="449">
        <v>0</v>
      </c>
      <c r="I4" s="450">
        <f t="shared" ref="I4:I33" si="0">E4+F4+G4+H4</f>
        <v>50</v>
      </c>
      <c r="J4" s="449">
        <v>0</v>
      </c>
      <c r="K4" s="449">
        <v>33</v>
      </c>
      <c r="L4" s="449">
        <v>17</v>
      </c>
      <c r="M4" s="449"/>
      <c r="N4" s="449">
        <f t="shared" ref="N4:N33" si="1">J4+K4+L4+M4</f>
        <v>50</v>
      </c>
      <c r="O4" s="449">
        <v>0</v>
      </c>
      <c r="P4" s="449">
        <v>0</v>
      </c>
      <c r="Q4" s="451">
        <v>25</v>
      </c>
      <c r="R4" s="452">
        <v>33</v>
      </c>
      <c r="S4" s="449">
        <v>30</v>
      </c>
      <c r="T4" s="465">
        <f>(R4/S4)*25</f>
        <v>27.500000000000004</v>
      </c>
      <c r="U4" s="449">
        <v>17</v>
      </c>
      <c r="V4" s="449">
        <v>20</v>
      </c>
      <c r="W4" s="465">
        <f t="shared" ref="W4:W33" si="2">U4/V4*25</f>
        <v>21.25</v>
      </c>
      <c r="X4" s="449"/>
      <c r="Y4" s="449"/>
      <c r="Z4" s="449"/>
      <c r="AA4" s="464">
        <f t="shared" ref="AA4:AA33" si="3">Q4+T4+W4+Z4</f>
        <v>73.75</v>
      </c>
      <c r="AB4" s="455" t="s">
        <v>666</v>
      </c>
      <c r="AC4" s="709" t="s">
        <v>978</v>
      </c>
    </row>
    <row r="5" spans="1:29" ht="115.8" customHeight="1" x14ac:dyDescent="0.3">
      <c r="A5" s="415" t="s">
        <v>583</v>
      </c>
      <c r="B5" s="415" t="s">
        <v>590</v>
      </c>
      <c r="C5" s="415" t="s">
        <v>591</v>
      </c>
      <c r="D5" s="415" t="s">
        <v>900</v>
      </c>
      <c r="E5" s="449">
        <v>0</v>
      </c>
      <c r="F5" s="449">
        <v>33</v>
      </c>
      <c r="G5" s="449">
        <v>33</v>
      </c>
      <c r="H5" s="449">
        <v>0</v>
      </c>
      <c r="I5" s="450">
        <f t="shared" si="0"/>
        <v>66</v>
      </c>
      <c r="J5" s="449">
        <v>0</v>
      </c>
      <c r="K5" s="449">
        <v>33</v>
      </c>
      <c r="L5" s="449">
        <v>19</v>
      </c>
      <c r="M5" s="449"/>
      <c r="N5" s="449">
        <f t="shared" si="1"/>
        <v>52</v>
      </c>
      <c r="O5" s="449">
        <v>0</v>
      </c>
      <c r="P5" s="449">
        <v>0</v>
      </c>
      <c r="Q5" s="451">
        <v>25</v>
      </c>
      <c r="R5" s="452">
        <v>33</v>
      </c>
      <c r="S5" s="449">
        <v>33</v>
      </c>
      <c r="T5" s="451">
        <v>25</v>
      </c>
      <c r="U5" s="449">
        <v>19</v>
      </c>
      <c r="V5" s="449">
        <v>33</v>
      </c>
      <c r="W5" s="462">
        <f>U5/V5*25</f>
        <v>14.393939393939394</v>
      </c>
      <c r="X5" s="449"/>
      <c r="Y5" s="449"/>
      <c r="Z5" s="449"/>
      <c r="AA5" s="462">
        <f t="shared" si="3"/>
        <v>64.393939393939391</v>
      </c>
      <c r="AB5" s="455" t="s">
        <v>667</v>
      </c>
      <c r="AC5" s="709" t="s">
        <v>979</v>
      </c>
    </row>
    <row r="6" spans="1:29" ht="115.8" customHeight="1" x14ac:dyDescent="0.3">
      <c r="A6" s="415" t="s">
        <v>583</v>
      </c>
      <c r="B6" s="415" t="s">
        <v>592</v>
      </c>
      <c r="C6" s="415" t="s">
        <v>593</v>
      </c>
      <c r="D6" s="415" t="s">
        <v>901</v>
      </c>
      <c r="E6" s="449">
        <v>0</v>
      </c>
      <c r="F6" s="449">
        <v>0</v>
      </c>
      <c r="G6" s="449">
        <v>13</v>
      </c>
      <c r="H6" s="449">
        <v>13</v>
      </c>
      <c r="I6" s="450">
        <f t="shared" si="0"/>
        <v>26</v>
      </c>
      <c r="J6" s="449">
        <v>0</v>
      </c>
      <c r="K6" s="449">
        <v>0</v>
      </c>
      <c r="L6" s="449">
        <v>0</v>
      </c>
      <c r="M6" s="449"/>
      <c r="N6" s="449">
        <f t="shared" si="1"/>
        <v>0</v>
      </c>
      <c r="O6" s="449">
        <v>0</v>
      </c>
      <c r="P6" s="449">
        <v>0</v>
      </c>
      <c r="Q6" s="451">
        <v>25</v>
      </c>
      <c r="R6" s="452">
        <v>0</v>
      </c>
      <c r="S6" s="449">
        <v>0</v>
      </c>
      <c r="T6" s="451">
        <v>25</v>
      </c>
      <c r="U6" s="449">
        <v>0</v>
      </c>
      <c r="V6" s="449">
        <v>13</v>
      </c>
      <c r="W6" s="459">
        <f t="shared" si="2"/>
        <v>0</v>
      </c>
      <c r="X6" s="449"/>
      <c r="Y6" s="449"/>
      <c r="Z6" s="449"/>
      <c r="AA6" s="459">
        <f t="shared" si="3"/>
        <v>50</v>
      </c>
      <c r="AB6" s="455" t="s">
        <v>667</v>
      </c>
      <c r="AC6" s="710" t="s">
        <v>980</v>
      </c>
    </row>
    <row r="7" spans="1:29" ht="124.8" customHeight="1" x14ac:dyDescent="0.3">
      <c r="A7" s="415" t="s">
        <v>583</v>
      </c>
      <c r="B7" s="415" t="s">
        <v>594</v>
      </c>
      <c r="C7" s="415" t="s">
        <v>595</v>
      </c>
      <c r="D7" s="452" t="s">
        <v>43</v>
      </c>
      <c r="E7" s="449">
        <v>1</v>
      </c>
      <c r="F7" s="449">
        <v>0</v>
      </c>
      <c r="G7" s="449">
        <v>0</v>
      </c>
      <c r="H7" s="449"/>
      <c r="I7" s="450">
        <f t="shared" si="0"/>
        <v>1</v>
      </c>
      <c r="J7" s="449">
        <v>1</v>
      </c>
      <c r="K7" s="449">
        <v>0</v>
      </c>
      <c r="L7" s="449">
        <v>0</v>
      </c>
      <c r="M7" s="449"/>
      <c r="N7" s="449">
        <f t="shared" si="1"/>
        <v>1</v>
      </c>
      <c r="O7" s="449">
        <v>1</v>
      </c>
      <c r="P7" s="449">
        <v>1</v>
      </c>
      <c r="Q7" s="451">
        <f t="shared" ref="Q7:Q33" si="4">O7/P7*25</f>
        <v>25</v>
      </c>
      <c r="R7" s="456">
        <v>0</v>
      </c>
      <c r="S7" s="453">
        <v>0</v>
      </c>
      <c r="T7" s="451">
        <v>25</v>
      </c>
      <c r="U7" s="449">
        <v>0</v>
      </c>
      <c r="V7" s="449">
        <v>0</v>
      </c>
      <c r="W7" s="459">
        <v>25</v>
      </c>
      <c r="X7" s="449"/>
      <c r="Y7" s="449"/>
      <c r="Z7" s="449"/>
      <c r="AA7" s="460">
        <f t="shared" si="3"/>
        <v>75</v>
      </c>
      <c r="AB7" s="455" t="s">
        <v>668</v>
      </c>
      <c r="AC7" s="710" t="s">
        <v>980</v>
      </c>
    </row>
    <row r="8" spans="1:29" ht="116.4" customHeight="1" x14ac:dyDescent="0.3">
      <c r="A8" s="415" t="s">
        <v>583</v>
      </c>
      <c r="B8" s="415" t="s">
        <v>596</v>
      </c>
      <c r="C8" s="415" t="s">
        <v>597</v>
      </c>
      <c r="D8" s="415" t="s">
        <v>598</v>
      </c>
      <c r="E8" s="449">
        <v>0</v>
      </c>
      <c r="F8" s="449">
        <v>30</v>
      </c>
      <c r="G8" s="449">
        <v>20</v>
      </c>
      <c r="H8" s="449">
        <v>0</v>
      </c>
      <c r="I8" s="450">
        <f t="shared" si="0"/>
        <v>50</v>
      </c>
      <c r="J8" s="449">
        <v>0</v>
      </c>
      <c r="K8" s="449">
        <v>33</v>
      </c>
      <c r="L8" s="449">
        <v>50</v>
      </c>
      <c r="M8" s="449"/>
      <c r="N8" s="449">
        <f t="shared" si="1"/>
        <v>83</v>
      </c>
      <c r="O8" s="449">
        <v>0</v>
      </c>
      <c r="P8" s="449">
        <v>0</v>
      </c>
      <c r="Q8" s="451">
        <v>25</v>
      </c>
      <c r="R8" s="452">
        <v>33</v>
      </c>
      <c r="S8" s="449">
        <v>30</v>
      </c>
      <c r="T8" s="465">
        <f>(R8/S8)*25</f>
        <v>27.500000000000004</v>
      </c>
      <c r="U8" s="449">
        <v>50</v>
      </c>
      <c r="V8" s="449">
        <v>20</v>
      </c>
      <c r="W8" s="465">
        <f t="shared" si="2"/>
        <v>62.5</v>
      </c>
      <c r="X8" s="449"/>
      <c r="Y8" s="449"/>
      <c r="Z8" s="449"/>
      <c r="AA8" s="451">
        <f t="shared" si="3"/>
        <v>115</v>
      </c>
      <c r="AB8" s="455" t="s">
        <v>669</v>
      </c>
      <c r="AC8" s="454"/>
    </row>
    <row r="9" spans="1:29" ht="105" customHeight="1" x14ac:dyDescent="0.3">
      <c r="A9" s="415" t="s">
        <v>583</v>
      </c>
      <c r="B9" s="415" t="s">
        <v>599</v>
      </c>
      <c r="C9" s="415" t="s">
        <v>600</v>
      </c>
      <c r="D9" s="415" t="s">
        <v>601</v>
      </c>
      <c r="E9" s="449">
        <v>2</v>
      </c>
      <c r="F9" s="449">
        <v>6</v>
      </c>
      <c r="G9" s="449">
        <v>0</v>
      </c>
      <c r="H9" s="449">
        <v>0</v>
      </c>
      <c r="I9" s="450">
        <f t="shared" si="0"/>
        <v>8</v>
      </c>
      <c r="J9" s="449">
        <v>2</v>
      </c>
      <c r="K9" s="449">
        <v>6</v>
      </c>
      <c r="L9" s="449">
        <v>0</v>
      </c>
      <c r="M9" s="449"/>
      <c r="N9" s="449">
        <f t="shared" si="1"/>
        <v>8</v>
      </c>
      <c r="O9" s="449">
        <v>2</v>
      </c>
      <c r="P9" s="449">
        <v>2</v>
      </c>
      <c r="Q9" s="451">
        <f t="shared" si="4"/>
        <v>25</v>
      </c>
      <c r="R9" s="452">
        <v>6</v>
      </c>
      <c r="S9" s="449">
        <v>6</v>
      </c>
      <c r="T9" s="451">
        <v>25</v>
      </c>
      <c r="U9" s="449">
        <v>0</v>
      </c>
      <c r="V9" s="449">
        <v>0</v>
      </c>
      <c r="W9" s="451">
        <v>25</v>
      </c>
      <c r="X9" s="449"/>
      <c r="Y9" s="449"/>
      <c r="Z9" s="449"/>
      <c r="AA9" s="460">
        <f t="shared" si="3"/>
        <v>75</v>
      </c>
      <c r="AB9" s="455" t="s">
        <v>670</v>
      </c>
      <c r="AC9" s="711" t="s">
        <v>981</v>
      </c>
    </row>
    <row r="10" spans="1:29" ht="73.8" customHeight="1" x14ac:dyDescent="0.3">
      <c r="A10" s="415" t="s">
        <v>583</v>
      </c>
      <c r="B10" s="415" t="s">
        <v>602</v>
      </c>
      <c r="C10" s="415" t="s">
        <v>603</v>
      </c>
      <c r="D10" s="415" t="s">
        <v>604</v>
      </c>
      <c r="E10" s="449">
        <v>0</v>
      </c>
      <c r="F10" s="449">
        <v>1</v>
      </c>
      <c r="G10" s="449">
        <v>1</v>
      </c>
      <c r="H10" s="449">
        <v>0</v>
      </c>
      <c r="I10" s="450">
        <f t="shared" si="0"/>
        <v>2</v>
      </c>
      <c r="J10" s="449">
        <v>0</v>
      </c>
      <c r="K10" s="449">
        <v>1</v>
      </c>
      <c r="L10" s="449">
        <v>0</v>
      </c>
      <c r="M10" s="449"/>
      <c r="N10" s="449">
        <f t="shared" si="1"/>
        <v>1</v>
      </c>
      <c r="O10" s="449">
        <v>0</v>
      </c>
      <c r="P10" s="449">
        <v>0</v>
      </c>
      <c r="Q10" s="451">
        <v>25</v>
      </c>
      <c r="R10" s="452">
        <v>1</v>
      </c>
      <c r="S10" s="449">
        <v>1</v>
      </c>
      <c r="T10" s="451">
        <v>25</v>
      </c>
      <c r="U10" s="449">
        <v>0</v>
      </c>
      <c r="V10" s="449">
        <v>0</v>
      </c>
      <c r="W10" s="451">
        <v>25</v>
      </c>
      <c r="X10" s="449"/>
      <c r="Y10" s="449"/>
      <c r="Z10" s="449"/>
      <c r="AA10" s="460">
        <f t="shared" si="3"/>
        <v>75</v>
      </c>
      <c r="AB10" s="457" t="s">
        <v>671</v>
      </c>
      <c r="AC10" s="454"/>
    </row>
    <row r="11" spans="1:29" ht="108" customHeight="1" x14ac:dyDescent="0.3">
      <c r="A11" s="415"/>
      <c r="B11" s="415" t="s">
        <v>807</v>
      </c>
      <c r="C11" s="415" t="s">
        <v>808</v>
      </c>
      <c r="D11" s="415" t="s">
        <v>522</v>
      </c>
      <c r="E11" s="449">
        <v>0</v>
      </c>
      <c r="F11" s="449">
        <v>0</v>
      </c>
      <c r="G11" s="449">
        <v>170</v>
      </c>
      <c r="H11" s="449">
        <v>166</v>
      </c>
      <c r="I11" s="450">
        <f t="shared" si="0"/>
        <v>336</v>
      </c>
      <c r="J11" s="449">
        <v>0</v>
      </c>
      <c r="K11" s="449">
        <v>0</v>
      </c>
      <c r="L11" s="449"/>
      <c r="M11" s="449"/>
      <c r="N11" s="449">
        <f t="shared" si="1"/>
        <v>0</v>
      </c>
      <c r="O11" s="449">
        <v>0</v>
      </c>
      <c r="P11" s="449">
        <v>0</v>
      </c>
      <c r="Q11" s="451">
        <v>25</v>
      </c>
      <c r="R11" s="452">
        <v>0</v>
      </c>
      <c r="S11" s="449">
        <v>0</v>
      </c>
      <c r="T11" s="451">
        <v>25</v>
      </c>
      <c r="U11" s="449"/>
      <c r="V11" s="449"/>
      <c r="W11" s="454" t="e">
        <f t="shared" si="2"/>
        <v>#DIV/0!</v>
      </c>
      <c r="X11" s="449"/>
      <c r="Y11" s="449"/>
      <c r="Z11" s="449"/>
      <c r="AA11" s="454" t="e">
        <f t="shared" si="3"/>
        <v>#DIV/0!</v>
      </c>
      <c r="AB11" s="457"/>
      <c r="AC11" s="454"/>
    </row>
    <row r="12" spans="1:29" ht="84.75" customHeight="1" x14ac:dyDescent="0.3">
      <c r="A12" s="415"/>
      <c r="B12" s="415" t="s">
        <v>809</v>
      </c>
      <c r="C12" s="415" t="s">
        <v>808</v>
      </c>
      <c r="D12" s="415" t="s">
        <v>522</v>
      </c>
      <c r="E12" s="449">
        <v>0</v>
      </c>
      <c r="F12" s="449">
        <v>0</v>
      </c>
      <c r="G12" s="449">
        <v>150</v>
      </c>
      <c r="H12" s="449">
        <v>165</v>
      </c>
      <c r="I12" s="450">
        <f t="shared" si="0"/>
        <v>315</v>
      </c>
      <c r="J12" s="449">
        <v>0</v>
      </c>
      <c r="K12" s="449">
        <v>0</v>
      </c>
      <c r="L12" s="449"/>
      <c r="M12" s="449"/>
      <c r="N12" s="449">
        <f t="shared" si="1"/>
        <v>0</v>
      </c>
      <c r="O12" s="449">
        <v>0</v>
      </c>
      <c r="P12" s="449">
        <v>0</v>
      </c>
      <c r="Q12" s="451">
        <v>25</v>
      </c>
      <c r="R12" s="452">
        <v>0</v>
      </c>
      <c r="S12" s="449">
        <v>0</v>
      </c>
      <c r="T12" s="451">
        <v>25</v>
      </c>
      <c r="U12" s="449"/>
      <c r="V12" s="449"/>
      <c r="W12" s="454" t="e">
        <f t="shared" si="2"/>
        <v>#DIV/0!</v>
      </c>
      <c r="X12" s="449"/>
      <c r="Y12" s="449"/>
      <c r="Z12" s="449"/>
      <c r="AA12" s="454" t="e">
        <f t="shared" si="3"/>
        <v>#DIV/0!</v>
      </c>
      <c r="AB12" s="457"/>
      <c r="AC12" s="454"/>
    </row>
    <row r="13" spans="1:29" ht="60" x14ac:dyDescent="0.3">
      <c r="A13" s="415" t="s">
        <v>605</v>
      </c>
      <c r="B13" s="458" t="s">
        <v>982</v>
      </c>
      <c r="C13" s="458" t="s">
        <v>606</v>
      </c>
      <c r="D13" s="458" t="s">
        <v>607</v>
      </c>
      <c r="E13" s="449">
        <v>4</v>
      </c>
      <c r="F13" s="449">
        <v>26</v>
      </c>
      <c r="G13" s="449">
        <v>15</v>
      </c>
      <c r="H13" s="449">
        <v>10</v>
      </c>
      <c r="I13" s="450">
        <f t="shared" si="0"/>
        <v>55</v>
      </c>
      <c r="J13" s="449">
        <v>4</v>
      </c>
      <c r="K13" s="449">
        <v>26</v>
      </c>
      <c r="L13" s="449">
        <v>25</v>
      </c>
      <c r="M13" s="449"/>
      <c r="N13" s="449">
        <f t="shared" si="1"/>
        <v>55</v>
      </c>
      <c r="O13" s="449">
        <v>4</v>
      </c>
      <c r="P13" s="449">
        <v>4</v>
      </c>
      <c r="Q13" s="451">
        <f t="shared" si="4"/>
        <v>25</v>
      </c>
      <c r="R13" s="452">
        <v>26</v>
      </c>
      <c r="S13" s="449">
        <v>26</v>
      </c>
      <c r="T13" s="451">
        <v>25</v>
      </c>
      <c r="U13" s="449">
        <v>25</v>
      </c>
      <c r="V13" s="449">
        <v>5</v>
      </c>
      <c r="W13" s="451">
        <f t="shared" si="2"/>
        <v>125</v>
      </c>
      <c r="X13" s="449"/>
      <c r="Y13" s="449"/>
      <c r="Z13" s="449"/>
      <c r="AA13" s="451">
        <f t="shared" si="3"/>
        <v>175</v>
      </c>
      <c r="AB13" s="455" t="s">
        <v>672</v>
      </c>
      <c r="AC13" s="454"/>
    </row>
    <row r="14" spans="1:29" ht="82.8" customHeight="1" x14ac:dyDescent="0.3">
      <c r="A14" s="415" t="s">
        <v>605</v>
      </c>
      <c r="B14" s="458" t="s">
        <v>608</v>
      </c>
      <c r="C14" s="458" t="s">
        <v>609</v>
      </c>
      <c r="D14" s="458" t="s">
        <v>610</v>
      </c>
      <c r="E14" s="449">
        <v>6</v>
      </c>
      <c r="F14" s="449">
        <v>26</v>
      </c>
      <c r="G14" s="449">
        <v>8</v>
      </c>
      <c r="H14" s="449">
        <v>10</v>
      </c>
      <c r="I14" s="450">
        <f t="shared" si="0"/>
        <v>50</v>
      </c>
      <c r="J14" s="449">
        <v>6</v>
      </c>
      <c r="K14" s="449">
        <v>26</v>
      </c>
      <c r="L14" s="449">
        <v>20</v>
      </c>
      <c r="M14" s="449"/>
      <c r="N14" s="449">
        <f t="shared" si="1"/>
        <v>52</v>
      </c>
      <c r="O14" s="449">
        <v>6</v>
      </c>
      <c r="P14" s="449">
        <v>6</v>
      </c>
      <c r="Q14" s="451">
        <f t="shared" si="4"/>
        <v>25</v>
      </c>
      <c r="R14" s="452">
        <v>26</v>
      </c>
      <c r="S14" s="449">
        <v>26</v>
      </c>
      <c r="T14" s="451">
        <v>25</v>
      </c>
      <c r="U14" s="449">
        <v>20</v>
      </c>
      <c r="V14" s="449">
        <v>8</v>
      </c>
      <c r="W14" s="465">
        <f t="shared" si="2"/>
        <v>62.5</v>
      </c>
      <c r="X14" s="449"/>
      <c r="Y14" s="449"/>
      <c r="Z14" s="449"/>
      <c r="AA14" s="465">
        <f t="shared" si="3"/>
        <v>112.5</v>
      </c>
      <c r="AB14" s="455" t="s">
        <v>673</v>
      </c>
      <c r="AC14" s="454"/>
    </row>
    <row r="15" spans="1:29" ht="75" x14ac:dyDescent="0.3">
      <c r="A15" s="415" t="s">
        <v>605</v>
      </c>
      <c r="B15" s="458" t="s">
        <v>611</v>
      </c>
      <c r="C15" s="458" t="s">
        <v>612</v>
      </c>
      <c r="D15" s="458" t="s">
        <v>613</v>
      </c>
      <c r="E15" s="449">
        <v>0</v>
      </c>
      <c r="F15" s="449">
        <v>0</v>
      </c>
      <c r="G15" s="449">
        <v>25</v>
      </c>
      <c r="H15" s="449">
        <v>25</v>
      </c>
      <c r="I15" s="450">
        <f t="shared" si="0"/>
        <v>50</v>
      </c>
      <c r="J15" s="449">
        <v>0</v>
      </c>
      <c r="K15" s="449">
        <v>0</v>
      </c>
      <c r="L15" s="449">
        <v>37</v>
      </c>
      <c r="M15" s="449"/>
      <c r="N15" s="449">
        <f t="shared" si="1"/>
        <v>37</v>
      </c>
      <c r="O15" s="449">
        <v>0</v>
      </c>
      <c r="P15" s="449">
        <v>0</v>
      </c>
      <c r="Q15" s="451">
        <v>25</v>
      </c>
      <c r="R15" s="452">
        <v>0</v>
      </c>
      <c r="S15" s="449">
        <v>0</v>
      </c>
      <c r="T15" s="451">
        <v>0</v>
      </c>
      <c r="U15" s="449">
        <v>37</v>
      </c>
      <c r="V15" s="449">
        <v>25</v>
      </c>
      <c r="W15" s="451">
        <f t="shared" si="2"/>
        <v>37</v>
      </c>
      <c r="X15" s="449"/>
      <c r="Y15" s="449"/>
      <c r="Z15" s="449"/>
      <c r="AA15" s="459">
        <f t="shared" si="3"/>
        <v>62</v>
      </c>
      <c r="AB15" s="457" t="s">
        <v>674</v>
      </c>
      <c r="AC15" s="454"/>
    </row>
    <row r="16" spans="1:29" ht="81" customHeight="1" x14ac:dyDescent="0.3">
      <c r="A16" s="415" t="s">
        <v>605</v>
      </c>
      <c r="B16" s="458" t="s">
        <v>614</v>
      </c>
      <c r="C16" s="458" t="s">
        <v>615</v>
      </c>
      <c r="D16" s="458" t="s">
        <v>616</v>
      </c>
      <c r="E16" s="449">
        <v>0</v>
      </c>
      <c r="F16" s="449">
        <v>1</v>
      </c>
      <c r="G16" s="449">
        <v>1</v>
      </c>
      <c r="H16" s="449">
        <v>1</v>
      </c>
      <c r="I16" s="450">
        <f t="shared" si="0"/>
        <v>3</v>
      </c>
      <c r="J16" s="449">
        <v>0</v>
      </c>
      <c r="K16" s="449">
        <v>1</v>
      </c>
      <c r="L16" s="449">
        <v>0</v>
      </c>
      <c r="M16" s="449"/>
      <c r="N16" s="449">
        <f t="shared" si="1"/>
        <v>1</v>
      </c>
      <c r="O16" s="449">
        <v>0</v>
      </c>
      <c r="P16" s="449">
        <v>0</v>
      </c>
      <c r="Q16" s="451">
        <v>25</v>
      </c>
      <c r="R16" s="452">
        <v>1</v>
      </c>
      <c r="S16" s="449">
        <v>1</v>
      </c>
      <c r="T16" s="451">
        <v>25</v>
      </c>
      <c r="U16" s="449">
        <v>0</v>
      </c>
      <c r="V16" s="449">
        <v>1</v>
      </c>
      <c r="W16" s="459">
        <f t="shared" si="2"/>
        <v>0</v>
      </c>
      <c r="X16" s="449"/>
      <c r="Y16" s="449"/>
      <c r="Z16" s="449"/>
      <c r="AA16" s="459">
        <f t="shared" si="3"/>
        <v>50</v>
      </c>
      <c r="AB16" s="455" t="s">
        <v>675</v>
      </c>
      <c r="AC16" s="454"/>
    </row>
    <row r="17" spans="1:86" ht="72" customHeight="1" x14ac:dyDescent="0.3">
      <c r="A17" s="415" t="s">
        <v>605</v>
      </c>
      <c r="B17" s="458" t="s">
        <v>902</v>
      </c>
      <c r="C17" s="458" t="s">
        <v>617</v>
      </c>
      <c r="D17" s="458" t="s">
        <v>903</v>
      </c>
      <c r="E17" s="449">
        <v>0</v>
      </c>
      <c r="F17" s="449">
        <v>100</v>
      </c>
      <c r="G17" s="449">
        <v>1200</v>
      </c>
      <c r="H17" s="449">
        <v>1200</v>
      </c>
      <c r="I17" s="450">
        <f t="shared" si="0"/>
        <v>2500</v>
      </c>
      <c r="J17" s="449">
        <v>0</v>
      </c>
      <c r="K17" s="449">
        <v>62</v>
      </c>
      <c r="L17" s="449">
        <v>45</v>
      </c>
      <c r="M17" s="449"/>
      <c r="N17" s="449">
        <f t="shared" si="1"/>
        <v>107</v>
      </c>
      <c r="O17" s="449">
        <v>0</v>
      </c>
      <c r="P17" s="449">
        <v>0</v>
      </c>
      <c r="Q17" s="451">
        <v>25</v>
      </c>
      <c r="R17" s="452">
        <v>62</v>
      </c>
      <c r="S17" s="449">
        <v>100</v>
      </c>
      <c r="T17" s="462">
        <f>(R17/S17)*25</f>
        <v>15.5</v>
      </c>
      <c r="U17" s="449">
        <v>45</v>
      </c>
      <c r="V17" s="449">
        <v>1200</v>
      </c>
      <c r="W17" s="462">
        <f t="shared" si="2"/>
        <v>0.9375</v>
      </c>
      <c r="X17" s="449"/>
      <c r="Y17" s="449"/>
      <c r="Z17" s="449"/>
      <c r="AA17" s="462">
        <f t="shared" si="3"/>
        <v>41.4375</v>
      </c>
      <c r="AB17" s="455" t="s">
        <v>676</v>
      </c>
      <c r="AC17" s="454"/>
    </row>
    <row r="18" spans="1:86" ht="80.400000000000006" customHeight="1" x14ac:dyDescent="0.3">
      <c r="A18" s="415" t="s">
        <v>605</v>
      </c>
      <c r="B18" s="458" t="s">
        <v>618</v>
      </c>
      <c r="C18" s="458" t="s">
        <v>619</v>
      </c>
      <c r="D18" s="458" t="s">
        <v>620</v>
      </c>
      <c r="E18" s="449">
        <v>0</v>
      </c>
      <c r="F18" s="449">
        <v>0</v>
      </c>
      <c r="G18" s="449">
        <v>25</v>
      </c>
      <c r="H18" s="449">
        <v>25</v>
      </c>
      <c r="I18" s="450">
        <f t="shared" si="0"/>
        <v>50</v>
      </c>
      <c r="J18" s="449">
        <v>0</v>
      </c>
      <c r="K18" s="449">
        <v>0</v>
      </c>
      <c r="L18" s="449">
        <v>2</v>
      </c>
      <c r="M18" s="449"/>
      <c r="N18" s="449">
        <f t="shared" si="1"/>
        <v>2</v>
      </c>
      <c r="O18" s="449">
        <v>0</v>
      </c>
      <c r="P18" s="449">
        <v>0</v>
      </c>
      <c r="Q18" s="451">
        <v>25</v>
      </c>
      <c r="R18" s="452">
        <v>1</v>
      </c>
      <c r="S18" s="449">
        <v>1</v>
      </c>
      <c r="T18" s="451">
        <v>25</v>
      </c>
      <c r="U18" s="449">
        <v>2</v>
      </c>
      <c r="V18" s="449">
        <v>2</v>
      </c>
      <c r="W18" s="451">
        <f t="shared" si="2"/>
        <v>25</v>
      </c>
      <c r="X18" s="449"/>
      <c r="Y18" s="449"/>
      <c r="Z18" s="449"/>
      <c r="AA18" s="460">
        <f t="shared" si="3"/>
        <v>75</v>
      </c>
      <c r="AB18" s="457" t="s">
        <v>677</v>
      </c>
      <c r="AC18" s="454"/>
    </row>
    <row r="19" spans="1:86" ht="60" x14ac:dyDescent="0.3">
      <c r="A19" s="415" t="s">
        <v>605</v>
      </c>
      <c r="B19" s="458" t="s">
        <v>904</v>
      </c>
      <c r="C19" s="458" t="s">
        <v>621</v>
      </c>
      <c r="D19" s="458" t="s">
        <v>622</v>
      </c>
      <c r="E19" s="449">
        <v>1</v>
      </c>
      <c r="F19" s="449">
        <v>1</v>
      </c>
      <c r="G19" s="449">
        <v>2</v>
      </c>
      <c r="H19" s="449">
        <v>0</v>
      </c>
      <c r="I19" s="450">
        <f t="shared" si="0"/>
        <v>4</v>
      </c>
      <c r="J19" s="449">
        <v>1</v>
      </c>
      <c r="K19" s="449">
        <v>1</v>
      </c>
      <c r="L19" s="449">
        <v>2</v>
      </c>
      <c r="M19" s="449"/>
      <c r="N19" s="449">
        <f t="shared" si="1"/>
        <v>4</v>
      </c>
      <c r="O19" s="449">
        <v>1</v>
      </c>
      <c r="P19" s="449">
        <v>1</v>
      </c>
      <c r="Q19" s="451">
        <f t="shared" si="4"/>
        <v>25</v>
      </c>
      <c r="R19" s="452">
        <v>61</v>
      </c>
      <c r="S19" s="449">
        <v>61</v>
      </c>
      <c r="T19" s="451">
        <v>25</v>
      </c>
      <c r="U19" s="449">
        <v>2</v>
      </c>
      <c r="V19" s="449">
        <v>2</v>
      </c>
      <c r="W19" s="451">
        <f t="shared" si="2"/>
        <v>25</v>
      </c>
      <c r="X19" s="449"/>
      <c r="Y19" s="449"/>
      <c r="Z19" s="449"/>
      <c r="AA19" s="460">
        <f t="shared" si="3"/>
        <v>75</v>
      </c>
      <c r="AB19" s="457" t="s">
        <v>678</v>
      </c>
      <c r="AC19" s="454"/>
    </row>
    <row r="20" spans="1:86" ht="66.599999999999994" customHeight="1" x14ac:dyDescent="0.3">
      <c r="A20" s="415" t="s">
        <v>605</v>
      </c>
      <c r="B20" s="458" t="s">
        <v>623</v>
      </c>
      <c r="C20" s="458" t="s">
        <v>624</v>
      </c>
      <c r="D20" s="415" t="s">
        <v>625</v>
      </c>
      <c r="E20" s="449">
        <v>19</v>
      </c>
      <c r="F20" s="449">
        <v>61</v>
      </c>
      <c r="G20" s="449">
        <v>38</v>
      </c>
      <c r="H20" s="449"/>
      <c r="I20" s="450">
        <f t="shared" si="0"/>
        <v>118</v>
      </c>
      <c r="J20" s="454">
        <v>19</v>
      </c>
      <c r="K20" s="449">
        <v>61</v>
      </c>
      <c r="L20" s="449">
        <v>38</v>
      </c>
      <c r="M20" s="449"/>
      <c r="N20" s="449">
        <f t="shared" si="1"/>
        <v>118</v>
      </c>
      <c r="O20" s="449">
        <v>19</v>
      </c>
      <c r="P20" s="449">
        <v>19</v>
      </c>
      <c r="Q20" s="451">
        <f t="shared" si="4"/>
        <v>25</v>
      </c>
      <c r="R20" s="452">
        <v>61</v>
      </c>
      <c r="S20" s="449">
        <v>61</v>
      </c>
      <c r="T20" s="451">
        <v>25</v>
      </c>
      <c r="U20" s="449">
        <v>38</v>
      </c>
      <c r="V20" s="449">
        <v>38</v>
      </c>
      <c r="W20" s="451">
        <f t="shared" si="2"/>
        <v>25</v>
      </c>
      <c r="X20" s="449"/>
      <c r="Y20" s="449"/>
      <c r="Z20" s="449"/>
      <c r="AA20" s="460">
        <f t="shared" si="3"/>
        <v>75</v>
      </c>
      <c r="AB20" s="455" t="s">
        <v>679</v>
      </c>
      <c r="AC20" s="454"/>
    </row>
    <row r="21" spans="1:86" ht="67.8" customHeight="1" x14ac:dyDescent="0.3">
      <c r="A21" s="415" t="s">
        <v>605</v>
      </c>
      <c r="B21" s="458" t="s">
        <v>626</v>
      </c>
      <c r="C21" s="458" t="s">
        <v>627</v>
      </c>
      <c r="D21" s="415" t="s">
        <v>628</v>
      </c>
      <c r="E21" s="449">
        <v>15</v>
      </c>
      <c r="F21" s="449">
        <v>7</v>
      </c>
      <c r="G21" s="449">
        <v>7</v>
      </c>
      <c r="H21" s="449"/>
      <c r="I21" s="450">
        <f t="shared" si="0"/>
        <v>29</v>
      </c>
      <c r="J21" s="449">
        <v>15</v>
      </c>
      <c r="K21" s="449">
        <v>7</v>
      </c>
      <c r="L21" s="449">
        <v>7</v>
      </c>
      <c r="M21" s="449"/>
      <c r="N21" s="449">
        <f>J21+K21+L21+M21</f>
        <v>29</v>
      </c>
      <c r="O21" s="449">
        <v>15</v>
      </c>
      <c r="P21" s="449">
        <v>15</v>
      </c>
      <c r="Q21" s="451">
        <f t="shared" si="4"/>
        <v>25</v>
      </c>
      <c r="R21" s="452">
        <v>7</v>
      </c>
      <c r="S21" s="449">
        <v>7</v>
      </c>
      <c r="T21" s="451">
        <v>25</v>
      </c>
      <c r="U21" s="449">
        <v>7</v>
      </c>
      <c r="V21" s="449">
        <v>7</v>
      </c>
      <c r="W21" s="451">
        <f t="shared" si="2"/>
        <v>25</v>
      </c>
      <c r="X21" s="449"/>
      <c r="Y21" s="449"/>
      <c r="Z21" s="449"/>
      <c r="AA21" s="460">
        <f t="shared" si="3"/>
        <v>75</v>
      </c>
      <c r="AB21" s="455" t="s">
        <v>679</v>
      </c>
      <c r="AC21" s="454"/>
    </row>
    <row r="22" spans="1:86" ht="90" x14ac:dyDescent="0.3">
      <c r="A22" s="452" t="s">
        <v>629</v>
      </c>
      <c r="B22" s="458" t="s">
        <v>630</v>
      </c>
      <c r="C22" s="458" t="s">
        <v>631</v>
      </c>
      <c r="D22" s="458" t="s">
        <v>632</v>
      </c>
      <c r="E22" s="449">
        <v>500</v>
      </c>
      <c r="F22" s="449">
        <v>1000</v>
      </c>
      <c r="G22" s="449">
        <v>7000</v>
      </c>
      <c r="H22" s="449">
        <v>6500</v>
      </c>
      <c r="I22" s="450">
        <f t="shared" si="0"/>
        <v>15000</v>
      </c>
      <c r="J22" s="449">
        <v>394</v>
      </c>
      <c r="K22" s="449">
        <v>1036</v>
      </c>
      <c r="L22" s="449">
        <v>7451</v>
      </c>
      <c r="M22" s="449"/>
      <c r="N22" s="449">
        <f t="shared" si="1"/>
        <v>8881</v>
      </c>
      <c r="O22" s="449">
        <v>394</v>
      </c>
      <c r="P22" s="449">
        <v>500</v>
      </c>
      <c r="Q22" s="464">
        <f t="shared" si="4"/>
        <v>19.7</v>
      </c>
      <c r="R22" s="452">
        <v>1036</v>
      </c>
      <c r="S22" s="449">
        <v>1000</v>
      </c>
      <c r="T22" s="465">
        <f t="shared" ref="T22:T27" si="5">(R22/S22)*25</f>
        <v>25.900000000000002</v>
      </c>
      <c r="U22" s="449">
        <v>7451</v>
      </c>
      <c r="V22" s="449">
        <v>7000</v>
      </c>
      <c r="W22" s="465">
        <f t="shared" si="2"/>
        <v>26.610714285714288</v>
      </c>
      <c r="X22" s="449"/>
      <c r="Y22" s="449"/>
      <c r="Z22" s="449"/>
      <c r="AA22" s="464">
        <f t="shared" si="3"/>
        <v>72.210714285714289</v>
      </c>
      <c r="AB22" s="461" t="s">
        <v>680</v>
      </c>
      <c r="AC22" s="454"/>
    </row>
    <row r="23" spans="1:86" ht="75" x14ac:dyDescent="0.3">
      <c r="A23" s="452" t="s">
        <v>629</v>
      </c>
      <c r="B23" s="458" t="s">
        <v>633</v>
      </c>
      <c r="C23" s="458" t="s">
        <v>634</v>
      </c>
      <c r="D23" s="458" t="s">
        <v>635</v>
      </c>
      <c r="E23" s="449">
        <v>0</v>
      </c>
      <c r="F23" s="449">
        <v>6</v>
      </c>
      <c r="G23" s="449">
        <v>16</v>
      </c>
      <c r="H23" s="449">
        <v>14</v>
      </c>
      <c r="I23" s="450">
        <f t="shared" si="0"/>
        <v>36</v>
      </c>
      <c r="J23" s="449">
        <v>0</v>
      </c>
      <c r="K23" s="449">
        <v>2</v>
      </c>
      <c r="L23" s="449">
        <v>22</v>
      </c>
      <c r="M23" s="449"/>
      <c r="N23" s="449">
        <f t="shared" si="1"/>
        <v>24</v>
      </c>
      <c r="O23" s="449">
        <v>0</v>
      </c>
      <c r="P23" s="449">
        <v>0</v>
      </c>
      <c r="Q23" s="451">
        <v>25</v>
      </c>
      <c r="R23" s="452">
        <v>2</v>
      </c>
      <c r="S23" s="449">
        <v>6</v>
      </c>
      <c r="T23" s="462">
        <f t="shared" si="5"/>
        <v>8.3333333333333321</v>
      </c>
      <c r="U23" s="449">
        <v>22</v>
      </c>
      <c r="V23" s="449">
        <v>16</v>
      </c>
      <c r="W23" s="465">
        <f t="shared" si="2"/>
        <v>34.375</v>
      </c>
      <c r="X23" s="449"/>
      <c r="Y23" s="449"/>
      <c r="Z23" s="449"/>
      <c r="AA23" s="462">
        <f t="shared" si="3"/>
        <v>67.708333333333329</v>
      </c>
      <c r="AB23" s="463" t="s">
        <v>681</v>
      </c>
      <c r="AC23" s="454"/>
    </row>
    <row r="24" spans="1:86" ht="60" x14ac:dyDescent="0.3">
      <c r="A24" s="452" t="s">
        <v>629</v>
      </c>
      <c r="B24" s="458" t="s">
        <v>636</v>
      </c>
      <c r="C24" s="458" t="s">
        <v>637</v>
      </c>
      <c r="D24" s="458" t="s">
        <v>638</v>
      </c>
      <c r="E24" s="449">
        <v>0</v>
      </c>
      <c r="F24" s="449">
        <v>10</v>
      </c>
      <c r="G24" s="449">
        <v>30</v>
      </c>
      <c r="H24" s="449">
        <v>11</v>
      </c>
      <c r="I24" s="450">
        <f t="shared" si="0"/>
        <v>51</v>
      </c>
      <c r="J24" s="449">
        <v>0</v>
      </c>
      <c r="K24" s="449">
        <v>7</v>
      </c>
      <c r="L24" s="449">
        <v>17</v>
      </c>
      <c r="M24" s="449"/>
      <c r="N24" s="449">
        <f t="shared" si="1"/>
        <v>24</v>
      </c>
      <c r="O24" s="449">
        <v>0</v>
      </c>
      <c r="P24" s="449">
        <v>0</v>
      </c>
      <c r="Q24" s="451">
        <v>25</v>
      </c>
      <c r="R24" s="452">
        <v>7</v>
      </c>
      <c r="S24" s="449">
        <v>10</v>
      </c>
      <c r="T24" s="467">
        <f t="shared" si="5"/>
        <v>17.5</v>
      </c>
      <c r="U24" s="449">
        <v>17</v>
      </c>
      <c r="V24" s="449">
        <v>30</v>
      </c>
      <c r="W24" s="462">
        <f t="shared" si="2"/>
        <v>14.166666666666666</v>
      </c>
      <c r="X24" s="449"/>
      <c r="Y24" s="449"/>
      <c r="Z24" s="449"/>
      <c r="AA24" s="462">
        <f t="shared" si="3"/>
        <v>56.666666666666664</v>
      </c>
      <c r="AB24" s="461" t="s">
        <v>682</v>
      </c>
      <c r="AC24" s="454"/>
    </row>
    <row r="25" spans="1:86" ht="112.2" customHeight="1" x14ac:dyDescent="0.3">
      <c r="A25" s="452" t="s">
        <v>639</v>
      </c>
      <c r="B25" s="458" t="s">
        <v>640</v>
      </c>
      <c r="C25" s="458" t="s">
        <v>641</v>
      </c>
      <c r="D25" s="458" t="s">
        <v>642</v>
      </c>
      <c r="E25" s="449">
        <v>500</v>
      </c>
      <c r="F25" s="449">
        <v>1000</v>
      </c>
      <c r="G25" s="449">
        <v>7000</v>
      </c>
      <c r="H25" s="449">
        <v>6500</v>
      </c>
      <c r="I25" s="450">
        <f t="shared" si="0"/>
        <v>15000</v>
      </c>
      <c r="J25" s="449">
        <v>394</v>
      </c>
      <c r="K25" s="449">
        <v>1036</v>
      </c>
      <c r="L25" s="449">
        <v>6021</v>
      </c>
      <c r="M25" s="449"/>
      <c r="N25" s="449">
        <f t="shared" si="1"/>
        <v>7451</v>
      </c>
      <c r="O25" s="449">
        <v>394</v>
      </c>
      <c r="P25" s="449">
        <v>500</v>
      </c>
      <c r="Q25" s="464">
        <f t="shared" si="4"/>
        <v>19.7</v>
      </c>
      <c r="R25" s="452">
        <v>1036</v>
      </c>
      <c r="S25" s="449">
        <v>1000</v>
      </c>
      <c r="T25" s="465">
        <f t="shared" si="5"/>
        <v>25.900000000000002</v>
      </c>
      <c r="U25" s="449">
        <v>6021</v>
      </c>
      <c r="V25" s="449">
        <v>7000</v>
      </c>
      <c r="W25" s="465">
        <f t="shared" si="2"/>
        <v>21.503571428571426</v>
      </c>
      <c r="X25" s="449"/>
      <c r="Y25" s="449"/>
      <c r="Z25" s="449"/>
      <c r="AA25" s="462">
        <f t="shared" si="3"/>
        <v>67.103571428571428</v>
      </c>
      <c r="AB25" s="463" t="s">
        <v>683</v>
      </c>
      <c r="AC25" s="709" t="s">
        <v>968</v>
      </c>
    </row>
    <row r="26" spans="1:86" ht="75" x14ac:dyDescent="0.3">
      <c r="A26" s="452" t="s">
        <v>639</v>
      </c>
      <c r="B26" s="458" t="s">
        <v>643</v>
      </c>
      <c r="C26" s="458" t="s">
        <v>644</v>
      </c>
      <c r="D26" s="458" t="s">
        <v>645</v>
      </c>
      <c r="E26" s="449">
        <v>0</v>
      </c>
      <c r="F26" s="449">
        <v>50</v>
      </c>
      <c r="G26" s="449">
        <v>35</v>
      </c>
      <c r="H26" s="449">
        <v>0</v>
      </c>
      <c r="I26" s="450">
        <f t="shared" si="0"/>
        <v>85</v>
      </c>
      <c r="J26" s="449">
        <v>0</v>
      </c>
      <c r="K26" s="449">
        <v>57</v>
      </c>
      <c r="L26" s="449">
        <v>28</v>
      </c>
      <c r="M26" s="449"/>
      <c r="N26" s="449">
        <f t="shared" si="1"/>
        <v>85</v>
      </c>
      <c r="O26" s="449">
        <v>0</v>
      </c>
      <c r="P26" s="449">
        <v>0</v>
      </c>
      <c r="Q26" s="451">
        <v>25</v>
      </c>
      <c r="R26" s="452">
        <v>57</v>
      </c>
      <c r="S26" s="449">
        <v>50</v>
      </c>
      <c r="T26" s="465">
        <f t="shared" si="5"/>
        <v>28.499999999999996</v>
      </c>
      <c r="U26" s="449">
        <v>28</v>
      </c>
      <c r="V26" s="449">
        <v>35</v>
      </c>
      <c r="W26" s="460">
        <f t="shared" si="2"/>
        <v>20</v>
      </c>
      <c r="X26" s="449"/>
      <c r="Y26" s="449"/>
      <c r="Z26" s="449"/>
      <c r="AA26" s="464">
        <f t="shared" si="3"/>
        <v>73.5</v>
      </c>
      <c r="AB26" s="455" t="s">
        <v>684</v>
      </c>
      <c r="AC26" s="709" t="s">
        <v>969</v>
      </c>
    </row>
    <row r="27" spans="1:86" ht="90" x14ac:dyDescent="0.3">
      <c r="A27" s="452" t="s">
        <v>639</v>
      </c>
      <c r="B27" s="458" t="s">
        <v>646</v>
      </c>
      <c r="C27" s="458" t="s">
        <v>647</v>
      </c>
      <c r="D27" s="458" t="s">
        <v>648</v>
      </c>
      <c r="E27" s="449">
        <v>0</v>
      </c>
      <c r="F27" s="449">
        <v>20</v>
      </c>
      <c r="G27" s="449">
        <v>30</v>
      </c>
      <c r="H27" s="449">
        <v>10</v>
      </c>
      <c r="I27" s="450">
        <f t="shared" si="0"/>
        <v>60</v>
      </c>
      <c r="J27" s="449">
        <v>0</v>
      </c>
      <c r="K27" s="449">
        <v>22</v>
      </c>
      <c r="L27" s="449">
        <v>9</v>
      </c>
      <c r="M27" s="449"/>
      <c r="N27" s="449">
        <f t="shared" si="1"/>
        <v>31</v>
      </c>
      <c r="O27" s="449">
        <v>0</v>
      </c>
      <c r="P27" s="449">
        <v>0</v>
      </c>
      <c r="Q27" s="451">
        <v>25</v>
      </c>
      <c r="R27" s="452">
        <v>22</v>
      </c>
      <c r="S27" s="449">
        <v>20</v>
      </c>
      <c r="T27" s="465">
        <f t="shared" si="5"/>
        <v>27.500000000000004</v>
      </c>
      <c r="U27" s="449">
        <v>9</v>
      </c>
      <c r="V27" s="449">
        <v>50</v>
      </c>
      <c r="W27" s="462">
        <f t="shared" si="2"/>
        <v>4.5</v>
      </c>
      <c r="X27" s="449"/>
      <c r="Y27" s="449"/>
      <c r="Z27" s="449"/>
      <c r="AA27" s="459">
        <f t="shared" si="3"/>
        <v>57</v>
      </c>
      <c r="AB27" s="455" t="s">
        <v>685</v>
      </c>
      <c r="AC27" s="709" t="s">
        <v>970</v>
      </c>
    </row>
    <row r="28" spans="1:86" ht="60" x14ac:dyDescent="0.3">
      <c r="A28" s="452" t="s">
        <v>639</v>
      </c>
      <c r="B28" s="458" t="s">
        <v>649</v>
      </c>
      <c r="C28" s="458" t="s">
        <v>650</v>
      </c>
      <c r="D28" s="458" t="s">
        <v>651</v>
      </c>
      <c r="E28" s="449">
        <v>0</v>
      </c>
      <c r="F28" s="449">
        <v>185</v>
      </c>
      <c r="G28" s="449">
        <v>468</v>
      </c>
      <c r="H28" s="449">
        <v>468</v>
      </c>
      <c r="I28" s="450">
        <f t="shared" si="0"/>
        <v>1121</v>
      </c>
      <c r="J28" s="449">
        <v>0</v>
      </c>
      <c r="K28" s="449">
        <v>185</v>
      </c>
      <c r="L28" s="449">
        <v>878</v>
      </c>
      <c r="M28" s="449"/>
      <c r="N28" s="449">
        <f t="shared" si="1"/>
        <v>1063</v>
      </c>
      <c r="O28" s="449">
        <v>0</v>
      </c>
      <c r="P28" s="449">
        <v>0</v>
      </c>
      <c r="Q28" s="451">
        <v>25</v>
      </c>
      <c r="R28" s="452">
        <v>185</v>
      </c>
      <c r="S28" s="449">
        <v>185</v>
      </c>
      <c r="T28" s="451">
        <v>25</v>
      </c>
      <c r="U28" s="449">
        <v>878</v>
      </c>
      <c r="V28" s="449">
        <v>468</v>
      </c>
      <c r="W28" s="466">
        <f t="shared" si="2"/>
        <v>46.901709401709404</v>
      </c>
      <c r="X28" s="449"/>
      <c r="Y28" s="449"/>
      <c r="Z28" s="449"/>
      <c r="AA28" s="465">
        <f t="shared" si="3"/>
        <v>96.901709401709411</v>
      </c>
      <c r="AB28" s="455" t="s">
        <v>686</v>
      </c>
      <c r="AC28" s="709" t="s">
        <v>971</v>
      </c>
    </row>
    <row r="29" spans="1:86" ht="60" x14ac:dyDescent="0.3">
      <c r="A29" s="452" t="s">
        <v>639</v>
      </c>
      <c r="B29" s="458" t="s">
        <v>652</v>
      </c>
      <c r="C29" s="458" t="s">
        <v>653</v>
      </c>
      <c r="D29" s="458" t="s">
        <v>654</v>
      </c>
      <c r="E29" s="449">
        <v>0</v>
      </c>
      <c r="F29" s="449">
        <v>5</v>
      </c>
      <c r="G29" s="449">
        <v>40</v>
      </c>
      <c r="H29" s="449">
        <v>40</v>
      </c>
      <c r="I29" s="450">
        <f t="shared" si="0"/>
        <v>85</v>
      </c>
      <c r="J29" s="449">
        <v>0</v>
      </c>
      <c r="K29" s="449">
        <v>5</v>
      </c>
      <c r="L29" s="449">
        <v>69</v>
      </c>
      <c r="M29" s="449"/>
      <c r="N29" s="449">
        <f t="shared" si="1"/>
        <v>74</v>
      </c>
      <c r="O29" s="449">
        <v>0</v>
      </c>
      <c r="P29" s="449">
        <v>0</v>
      </c>
      <c r="Q29" s="451">
        <v>25</v>
      </c>
      <c r="R29" s="452">
        <v>5</v>
      </c>
      <c r="S29" s="449">
        <v>5</v>
      </c>
      <c r="T29" s="451">
        <v>25</v>
      </c>
      <c r="U29" s="449">
        <v>69</v>
      </c>
      <c r="V29" s="449">
        <v>40</v>
      </c>
      <c r="W29" s="465">
        <f t="shared" si="2"/>
        <v>43.125</v>
      </c>
      <c r="X29" s="449"/>
      <c r="Y29" s="449"/>
      <c r="Z29" s="449"/>
      <c r="AA29" s="465">
        <f t="shared" si="3"/>
        <v>93.125</v>
      </c>
      <c r="AB29" s="455" t="s">
        <v>685</v>
      </c>
      <c r="AC29" s="709" t="s">
        <v>972</v>
      </c>
      <c r="AH29" s="708"/>
      <c r="AI29" s="708"/>
      <c r="AJ29" s="708"/>
      <c r="AK29" s="708"/>
      <c r="AL29" s="708"/>
      <c r="AM29" s="708"/>
      <c r="AN29" s="708"/>
      <c r="AO29" s="708"/>
      <c r="AP29" s="708"/>
      <c r="AQ29" s="708"/>
      <c r="AR29" s="708"/>
      <c r="AS29" s="708"/>
      <c r="AT29" s="708"/>
      <c r="AU29" s="708"/>
      <c r="AV29" s="708"/>
      <c r="AW29" s="708"/>
      <c r="AX29" s="708"/>
      <c r="AY29" s="708"/>
      <c r="AZ29" s="708"/>
      <c r="BA29" s="708"/>
      <c r="BB29" s="708"/>
      <c r="BC29" s="708"/>
      <c r="BD29" s="708"/>
      <c r="BE29" s="708"/>
      <c r="BF29" s="708"/>
      <c r="BG29" s="708"/>
      <c r="BH29" s="708"/>
      <c r="BI29" s="708"/>
      <c r="BJ29" s="708"/>
      <c r="BK29" s="708"/>
      <c r="BL29" s="708"/>
      <c r="BM29" s="708"/>
      <c r="BN29" s="708"/>
      <c r="BO29" s="708"/>
      <c r="BP29" s="708"/>
      <c r="BQ29" s="708"/>
      <c r="BR29" s="708"/>
      <c r="BS29" s="708"/>
      <c r="BT29" s="708"/>
      <c r="BU29" s="708"/>
      <c r="BV29" s="708"/>
      <c r="BW29" s="708"/>
      <c r="BX29" s="708"/>
      <c r="BY29" s="708"/>
      <c r="BZ29" s="708"/>
      <c r="CA29" s="708"/>
      <c r="CB29" s="708"/>
      <c r="CC29" s="708"/>
      <c r="CD29" s="708"/>
      <c r="CE29" s="708"/>
      <c r="CF29" s="708"/>
      <c r="CG29" s="708"/>
      <c r="CH29" s="708"/>
    </row>
    <row r="30" spans="1:86" ht="79.8" customHeight="1" x14ac:dyDescent="0.3">
      <c r="A30" s="452" t="s">
        <v>639</v>
      </c>
      <c r="B30" s="458" t="s">
        <v>655</v>
      </c>
      <c r="C30" s="458" t="s">
        <v>656</v>
      </c>
      <c r="D30" s="458" t="s">
        <v>657</v>
      </c>
      <c r="E30" s="449">
        <v>0</v>
      </c>
      <c r="F30" s="449">
        <v>20</v>
      </c>
      <c r="G30" s="449">
        <v>33</v>
      </c>
      <c r="H30" s="449">
        <v>32</v>
      </c>
      <c r="I30" s="450">
        <f t="shared" si="0"/>
        <v>85</v>
      </c>
      <c r="J30" s="449">
        <v>0</v>
      </c>
      <c r="K30" s="449">
        <v>20</v>
      </c>
      <c r="L30" s="449">
        <v>64</v>
      </c>
      <c r="M30" s="449"/>
      <c r="N30" s="449">
        <f t="shared" si="1"/>
        <v>84</v>
      </c>
      <c r="O30" s="449">
        <v>0</v>
      </c>
      <c r="P30" s="449">
        <v>0</v>
      </c>
      <c r="Q30" s="451">
        <v>25</v>
      </c>
      <c r="R30" s="452">
        <v>20</v>
      </c>
      <c r="S30" s="449">
        <v>20</v>
      </c>
      <c r="T30" s="451">
        <v>25</v>
      </c>
      <c r="U30" s="449">
        <v>64</v>
      </c>
      <c r="V30" s="449">
        <v>33</v>
      </c>
      <c r="W30" s="465">
        <f t="shared" si="2"/>
        <v>48.484848484848484</v>
      </c>
      <c r="X30" s="449"/>
      <c r="Y30" s="449"/>
      <c r="Z30" s="449"/>
      <c r="AA30" s="465">
        <f t="shared" si="3"/>
        <v>98.484848484848484</v>
      </c>
      <c r="AB30" s="455" t="s">
        <v>687</v>
      </c>
      <c r="AC30" s="709" t="s">
        <v>973</v>
      </c>
      <c r="AH30" s="708"/>
      <c r="AI30" s="708"/>
      <c r="AJ30" s="708"/>
      <c r="AK30" s="708"/>
      <c r="AL30" s="708"/>
      <c r="AM30" s="708"/>
      <c r="AN30" s="708"/>
      <c r="AO30" s="708"/>
      <c r="AP30" s="708"/>
      <c r="AQ30" s="708"/>
      <c r="AR30" s="708"/>
      <c r="AS30" s="708"/>
      <c r="AT30" s="708"/>
      <c r="AU30" s="708"/>
      <c r="AV30" s="708"/>
      <c r="AW30" s="708"/>
      <c r="AX30" s="708"/>
      <c r="AY30" s="708"/>
      <c r="AZ30" s="708"/>
      <c r="BA30" s="708"/>
      <c r="BB30" s="708"/>
      <c r="BC30" s="708"/>
      <c r="BD30" s="708"/>
      <c r="BE30" s="708"/>
      <c r="BF30" s="708"/>
      <c r="BG30" s="708"/>
      <c r="BH30" s="708"/>
      <c r="BI30" s="708"/>
      <c r="BJ30" s="708"/>
      <c r="BK30" s="708"/>
      <c r="BL30" s="708"/>
      <c r="BM30" s="708"/>
      <c r="BN30" s="708"/>
      <c r="BO30" s="708"/>
      <c r="BP30" s="708"/>
      <c r="BQ30" s="708"/>
      <c r="BR30" s="708"/>
      <c r="BS30" s="708"/>
      <c r="BT30" s="708"/>
      <c r="BU30" s="708"/>
      <c r="BV30" s="708"/>
      <c r="BW30" s="708"/>
      <c r="BX30" s="708"/>
      <c r="BY30" s="708"/>
      <c r="BZ30" s="708"/>
      <c r="CA30" s="708"/>
      <c r="CB30" s="708"/>
      <c r="CC30" s="708"/>
      <c r="CD30" s="708"/>
      <c r="CE30" s="708"/>
      <c r="CF30" s="708"/>
      <c r="CG30" s="708"/>
      <c r="CH30" s="708"/>
    </row>
    <row r="31" spans="1:86" ht="72.599999999999994" customHeight="1" x14ac:dyDescent="0.3">
      <c r="A31" s="452" t="s">
        <v>639</v>
      </c>
      <c r="B31" s="458" t="s">
        <v>658</v>
      </c>
      <c r="C31" s="458" t="s">
        <v>659</v>
      </c>
      <c r="D31" s="458" t="s">
        <v>660</v>
      </c>
      <c r="E31" s="449">
        <v>0</v>
      </c>
      <c r="F31" s="449">
        <v>0</v>
      </c>
      <c r="G31" s="449">
        <v>7000</v>
      </c>
      <c r="H31" s="449">
        <v>6500</v>
      </c>
      <c r="I31" s="450">
        <f t="shared" si="0"/>
        <v>13500</v>
      </c>
      <c r="J31" s="449">
        <v>0</v>
      </c>
      <c r="K31" s="449">
        <v>0</v>
      </c>
      <c r="L31" s="449">
        <v>5569</v>
      </c>
      <c r="M31" s="449"/>
      <c r="N31" s="449">
        <f t="shared" si="1"/>
        <v>5569</v>
      </c>
      <c r="O31" s="449">
        <v>0</v>
      </c>
      <c r="P31" s="449">
        <v>0</v>
      </c>
      <c r="Q31" s="451">
        <v>25</v>
      </c>
      <c r="R31" s="452">
        <v>0</v>
      </c>
      <c r="S31" s="449">
        <v>0</v>
      </c>
      <c r="T31" s="451">
        <v>25</v>
      </c>
      <c r="U31" s="449">
        <v>5569</v>
      </c>
      <c r="V31" s="449">
        <v>7000</v>
      </c>
      <c r="W31" s="467">
        <f t="shared" si="2"/>
        <v>19.889285714285716</v>
      </c>
      <c r="X31" s="449"/>
      <c r="Y31" s="449"/>
      <c r="Z31" s="449"/>
      <c r="AA31" s="462">
        <f t="shared" si="3"/>
        <v>69.88928571428572</v>
      </c>
      <c r="AB31" s="455" t="s">
        <v>688</v>
      </c>
      <c r="AC31" s="709" t="s">
        <v>974</v>
      </c>
      <c r="AH31" s="708"/>
      <c r="AI31" s="708"/>
      <c r="AJ31" s="708"/>
      <c r="AK31" s="708"/>
      <c r="AL31" s="708"/>
      <c r="AM31" s="708"/>
      <c r="AN31" s="708"/>
      <c r="AO31" s="708"/>
      <c r="AP31" s="708"/>
      <c r="AQ31" s="708"/>
      <c r="AR31" s="708"/>
      <c r="AS31" s="708"/>
      <c r="AT31" s="708"/>
      <c r="AU31" s="708"/>
      <c r="AV31" s="708"/>
      <c r="AW31" s="708"/>
      <c r="AX31" s="708"/>
      <c r="AY31" s="708"/>
      <c r="AZ31" s="708"/>
      <c r="BA31" s="708"/>
      <c r="BB31" s="708"/>
      <c r="BC31" s="708"/>
      <c r="BD31" s="708"/>
      <c r="BE31" s="708"/>
      <c r="BF31" s="708"/>
      <c r="BG31" s="708"/>
      <c r="BH31" s="708"/>
      <c r="BI31" s="708"/>
      <c r="BJ31" s="708"/>
      <c r="BK31" s="708"/>
      <c r="BL31" s="708"/>
      <c r="BM31" s="708"/>
      <c r="BN31" s="708"/>
      <c r="BO31" s="708"/>
      <c r="BP31" s="708"/>
      <c r="BQ31" s="708"/>
      <c r="BR31" s="708"/>
      <c r="BS31" s="708"/>
      <c r="BT31" s="708"/>
      <c r="BU31" s="708"/>
      <c r="BV31" s="708"/>
      <c r="BW31" s="708"/>
      <c r="BX31" s="708"/>
      <c r="BY31" s="708"/>
      <c r="BZ31" s="708"/>
      <c r="CA31" s="708"/>
      <c r="CB31" s="708"/>
      <c r="CC31" s="708"/>
      <c r="CD31" s="708"/>
      <c r="CE31" s="708"/>
      <c r="CF31" s="708"/>
      <c r="CG31" s="708"/>
      <c r="CH31" s="708"/>
    </row>
    <row r="32" spans="1:86" ht="71.400000000000006" customHeight="1" x14ac:dyDescent="0.3">
      <c r="A32" s="452" t="s">
        <v>639</v>
      </c>
      <c r="B32" s="458" t="s">
        <v>897</v>
      </c>
      <c r="C32" s="458" t="s">
        <v>661</v>
      </c>
      <c r="D32" s="458" t="s">
        <v>898</v>
      </c>
      <c r="E32" s="449">
        <v>0</v>
      </c>
      <c r="F32" s="449">
        <v>0</v>
      </c>
      <c r="G32" s="449">
        <v>25</v>
      </c>
      <c r="H32" s="449">
        <v>25</v>
      </c>
      <c r="I32" s="450">
        <v>50</v>
      </c>
      <c r="J32" s="449">
        <v>0</v>
      </c>
      <c r="K32" s="449">
        <v>0</v>
      </c>
      <c r="L32" s="449">
        <v>5</v>
      </c>
      <c r="M32" s="449"/>
      <c r="N32" s="449">
        <f t="shared" si="1"/>
        <v>5</v>
      </c>
      <c r="O32" s="449">
        <v>0</v>
      </c>
      <c r="P32" s="449">
        <v>0</v>
      </c>
      <c r="Q32" s="451">
        <v>25</v>
      </c>
      <c r="R32" s="452">
        <v>0</v>
      </c>
      <c r="S32" s="449">
        <v>0</v>
      </c>
      <c r="T32" s="451">
        <v>25</v>
      </c>
      <c r="U32" s="449">
        <v>5</v>
      </c>
      <c r="V32" s="449">
        <v>35</v>
      </c>
      <c r="W32" s="462">
        <f t="shared" si="2"/>
        <v>3.5714285714285712</v>
      </c>
      <c r="X32" s="449"/>
      <c r="Y32" s="449"/>
      <c r="Z32" s="449"/>
      <c r="AA32" s="462">
        <f t="shared" si="3"/>
        <v>53.571428571428569</v>
      </c>
      <c r="AB32" s="455" t="s">
        <v>689</v>
      </c>
      <c r="AC32" s="709" t="s">
        <v>975</v>
      </c>
      <c r="AH32" s="708"/>
      <c r="AI32" s="708"/>
      <c r="AJ32" s="708"/>
      <c r="AK32" s="708"/>
      <c r="AL32" s="708"/>
      <c r="AM32" s="708"/>
      <c r="AN32" s="708"/>
      <c r="AO32" s="708"/>
      <c r="AP32" s="708"/>
      <c r="AQ32" s="708"/>
      <c r="AR32" s="708"/>
      <c r="AS32" s="708"/>
      <c r="AT32" s="708"/>
      <c r="AU32" s="708"/>
      <c r="AV32" s="708"/>
      <c r="AW32" s="708"/>
      <c r="AX32" s="708"/>
      <c r="AY32" s="708"/>
      <c r="AZ32" s="708"/>
      <c r="BA32" s="708"/>
      <c r="BB32" s="708"/>
      <c r="BC32" s="708"/>
      <c r="BD32" s="708"/>
      <c r="BE32" s="708"/>
      <c r="BF32" s="708"/>
      <c r="BG32" s="708"/>
      <c r="BH32" s="708"/>
      <c r="BI32" s="708"/>
      <c r="BJ32" s="708"/>
      <c r="BK32" s="708"/>
      <c r="BL32" s="708"/>
      <c r="BM32" s="708"/>
      <c r="BN32" s="708"/>
      <c r="BO32" s="708"/>
      <c r="BP32" s="708"/>
      <c r="BQ32" s="708"/>
      <c r="BR32" s="708"/>
      <c r="BS32" s="708"/>
      <c r="BT32" s="708"/>
      <c r="BU32" s="708"/>
      <c r="BV32" s="708"/>
      <c r="BW32" s="708"/>
      <c r="BX32" s="708"/>
      <c r="BY32" s="708"/>
      <c r="BZ32" s="708"/>
      <c r="CA32" s="708"/>
      <c r="CB32" s="708"/>
      <c r="CC32" s="708"/>
      <c r="CD32" s="708"/>
      <c r="CE32" s="708"/>
      <c r="CF32" s="708"/>
      <c r="CG32" s="708"/>
      <c r="CH32" s="708"/>
    </row>
    <row r="33" spans="1:86" ht="120" customHeight="1" x14ac:dyDescent="0.3">
      <c r="A33" s="452" t="s">
        <v>639</v>
      </c>
      <c r="B33" s="458" t="s">
        <v>662</v>
      </c>
      <c r="C33" s="458" t="s">
        <v>663</v>
      </c>
      <c r="D33" s="458" t="s">
        <v>664</v>
      </c>
      <c r="E33" s="450">
        <v>300</v>
      </c>
      <c r="F33" s="449">
        <v>1300</v>
      </c>
      <c r="G33" s="449">
        <v>1300</v>
      </c>
      <c r="H33" s="449">
        <v>1300</v>
      </c>
      <c r="I33" s="450">
        <f t="shared" si="0"/>
        <v>4200</v>
      </c>
      <c r="J33" s="450">
        <v>394</v>
      </c>
      <c r="K33" s="449">
        <v>1036</v>
      </c>
      <c r="L33" s="449">
        <v>1441</v>
      </c>
      <c r="M33" s="449"/>
      <c r="N33" s="449">
        <f t="shared" si="1"/>
        <v>2871</v>
      </c>
      <c r="O33" s="450">
        <v>394</v>
      </c>
      <c r="P33" s="450">
        <v>394</v>
      </c>
      <c r="Q33" s="451">
        <f t="shared" si="4"/>
        <v>25</v>
      </c>
      <c r="R33" s="452">
        <v>1036</v>
      </c>
      <c r="S33" s="449">
        <v>1300</v>
      </c>
      <c r="T33" s="464">
        <f>(R33/S33)*25</f>
        <v>19.923076923076923</v>
      </c>
      <c r="U33" s="449">
        <v>1441</v>
      </c>
      <c r="V33" s="449">
        <v>1300</v>
      </c>
      <c r="W33" s="465">
        <f t="shared" si="2"/>
        <v>27.71153846153846</v>
      </c>
      <c r="X33" s="449"/>
      <c r="Y33" s="449"/>
      <c r="Z33" s="449"/>
      <c r="AA33" s="464">
        <f t="shared" si="3"/>
        <v>72.634615384615387</v>
      </c>
      <c r="AB33" s="481" t="s">
        <v>690</v>
      </c>
      <c r="AC33" s="709" t="s">
        <v>976</v>
      </c>
      <c r="AD33" s="708"/>
      <c r="AE33" s="708"/>
      <c r="AF33" s="708"/>
      <c r="AG33" s="708"/>
      <c r="AH33" s="708"/>
      <c r="AI33" s="708"/>
      <c r="AJ33" s="708"/>
      <c r="AK33" s="708"/>
      <c r="AL33" s="708"/>
      <c r="AM33" s="708"/>
      <c r="AN33" s="708"/>
      <c r="AO33" s="708"/>
      <c r="AP33" s="708"/>
      <c r="AQ33" s="708"/>
      <c r="AR33" s="708"/>
      <c r="AS33" s="708"/>
      <c r="AT33" s="708"/>
      <c r="AU33" s="708"/>
      <c r="AV33" s="708"/>
      <c r="AW33" s="708"/>
      <c r="AX33" s="708"/>
      <c r="AY33" s="708"/>
      <c r="AZ33" s="708"/>
      <c r="BA33" s="708"/>
      <c r="BB33" s="708"/>
      <c r="BC33" s="708"/>
      <c r="BD33" s="708"/>
      <c r="BE33" s="708"/>
      <c r="BF33" s="708"/>
      <c r="BG33" s="708"/>
      <c r="BH33" s="708"/>
      <c r="BI33" s="708"/>
      <c r="BJ33" s="708"/>
      <c r="BK33" s="708"/>
      <c r="BL33" s="708"/>
      <c r="BM33" s="708"/>
      <c r="BN33" s="708"/>
      <c r="BO33" s="708"/>
      <c r="BP33" s="708"/>
      <c r="BQ33" s="708"/>
      <c r="BR33" s="708"/>
      <c r="BS33" s="708"/>
      <c r="BT33" s="708"/>
      <c r="BU33" s="708"/>
      <c r="BV33" s="708"/>
      <c r="BW33" s="708"/>
      <c r="BX33" s="708"/>
      <c r="BY33" s="708"/>
      <c r="BZ33" s="708"/>
      <c r="CA33" s="708"/>
      <c r="CB33" s="708"/>
      <c r="CC33" s="708"/>
      <c r="CD33" s="708"/>
      <c r="CE33" s="708"/>
      <c r="CF33" s="708"/>
      <c r="CG33" s="708"/>
      <c r="CH33" s="708"/>
    </row>
    <row r="34" spans="1:86" s="482" customFormat="1" ht="19.2" customHeight="1" x14ac:dyDescent="0.3">
      <c r="A34" s="701"/>
      <c r="B34" s="702"/>
      <c r="C34" s="702"/>
      <c r="D34" s="702"/>
      <c r="E34" s="703"/>
      <c r="F34" s="704"/>
      <c r="G34" s="704"/>
      <c r="H34" s="704"/>
      <c r="I34" s="703"/>
      <c r="J34" s="703"/>
      <c r="K34" s="704"/>
      <c r="L34" s="704"/>
      <c r="M34" s="704"/>
      <c r="N34" s="704"/>
      <c r="O34" s="703"/>
      <c r="P34" s="703"/>
      <c r="Q34" s="704"/>
      <c r="R34" s="701"/>
      <c r="S34" s="704"/>
      <c r="T34" s="705"/>
      <c r="U34" s="704"/>
      <c r="V34" s="704"/>
      <c r="W34" s="705"/>
      <c r="X34" s="704"/>
      <c r="Y34" s="704"/>
      <c r="Z34" s="704"/>
      <c r="AA34" s="705"/>
      <c r="AB34" s="706"/>
      <c r="AC34" s="454"/>
      <c r="AD34" s="708"/>
      <c r="AE34" s="708"/>
      <c r="AF34" s="708"/>
      <c r="AG34" s="708"/>
      <c r="AH34" s="708"/>
      <c r="AI34" s="708"/>
      <c r="AJ34" s="708"/>
      <c r="AK34" s="708"/>
      <c r="AL34" s="708"/>
      <c r="AM34" s="708"/>
      <c r="AN34" s="708"/>
      <c r="AO34" s="708"/>
      <c r="AP34" s="708"/>
      <c r="AQ34" s="708"/>
      <c r="AR34" s="708"/>
      <c r="AS34" s="708"/>
      <c r="AT34" s="708"/>
      <c r="AU34" s="708"/>
      <c r="AV34" s="708"/>
      <c r="AW34" s="708"/>
      <c r="AX34" s="708"/>
      <c r="AY34" s="708"/>
      <c r="AZ34" s="708"/>
      <c r="BA34" s="708"/>
      <c r="BB34" s="708"/>
      <c r="BC34" s="708"/>
      <c r="BD34" s="708"/>
      <c r="BE34" s="708"/>
      <c r="BF34" s="708"/>
      <c r="BG34" s="708"/>
      <c r="BH34" s="708"/>
      <c r="BI34" s="708"/>
      <c r="BJ34" s="708"/>
      <c r="BK34" s="708"/>
      <c r="BL34" s="708"/>
      <c r="BM34" s="708"/>
      <c r="BN34" s="708"/>
      <c r="BO34" s="708"/>
      <c r="BP34" s="708"/>
      <c r="BQ34" s="708"/>
      <c r="BR34" s="708"/>
      <c r="BS34" s="708"/>
      <c r="BT34" s="708"/>
      <c r="BU34" s="708"/>
      <c r="BV34" s="708"/>
      <c r="BW34" s="708"/>
      <c r="BX34" s="708"/>
      <c r="BY34" s="708"/>
      <c r="BZ34" s="708"/>
      <c r="CA34" s="708"/>
      <c r="CB34" s="708"/>
      <c r="CC34" s="708"/>
      <c r="CD34" s="708"/>
      <c r="CE34" s="708"/>
      <c r="CF34" s="708"/>
      <c r="CG34" s="708"/>
      <c r="CH34" s="708"/>
    </row>
    <row r="35" spans="1:86" ht="33" customHeight="1" x14ac:dyDescent="0.3">
      <c r="A35" s="486"/>
      <c r="B35" s="485">
        <v>10</v>
      </c>
      <c r="C35" s="484" t="s">
        <v>899</v>
      </c>
      <c r="D35" s="707"/>
      <c r="E35" s="206">
        <v>0</v>
      </c>
      <c r="F35" s="206">
        <v>0</v>
      </c>
      <c r="G35" s="454"/>
      <c r="H35" s="454"/>
      <c r="I35" s="712"/>
      <c r="J35" s="712"/>
      <c r="K35" s="454"/>
      <c r="L35" s="454"/>
      <c r="M35" s="454"/>
      <c r="N35" s="454"/>
      <c r="O35" s="712"/>
      <c r="P35" s="712"/>
      <c r="Q35" s="454"/>
      <c r="R35" s="713"/>
      <c r="S35" s="454"/>
      <c r="T35" s="714"/>
      <c r="U35" s="454"/>
      <c r="V35" s="454"/>
      <c r="W35" s="714"/>
      <c r="X35" s="454"/>
      <c r="Y35" s="454"/>
      <c r="Z35" s="454"/>
      <c r="AA35" s="714"/>
      <c r="AB35" s="481"/>
      <c r="AC35" s="454"/>
      <c r="AH35" s="708"/>
      <c r="AI35" s="708"/>
      <c r="AJ35" s="708"/>
      <c r="AK35" s="708"/>
      <c r="AL35" s="708"/>
      <c r="AM35" s="708"/>
      <c r="AN35" s="708"/>
      <c r="AO35" s="708"/>
      <c r="AP35" s="708"/>
      <c r="AQ35" s="708"/>
      <c r="AR35" s="708"/>
      <c r="AS35" s="708"/>
      <c r="AT35" s="708"/>
      <c r="AU35" s="708"/>
      <c r="AV35" s="708"/>
      <c r="AW35" s="708"/>
      <c r="AX35" s="708"/>
      <c r="AY35" s="708"/>
      <c r="AZ35" s="708"/>
      <c r="BA35" s="708"/>
      <c r="BB35" s="708"/>
      <c r="BC35" s="708"/>
      <c r="BD35" s="708"/>
      <c r="BE35" s="708"/>
      <c r="BF35" s="708"/>
      <c r="BG35" s="708"/>
      <c r="BH35" s="708"/>
      <c r="BI35" s="708"/>
      <c r="BJ35" s="708"/>
      <c r="BK35" s="708"/>
      <c r="BL35" s="708"/>
      <c r="BM35" s="708"/>
      <c r="BN35" s="708"/>
      <c r="BO35" s="708"/>
      <c r="BP35" s="708"/>
      <c r="BQ35" s="708"/>
      <c r="BR35" s="708"/>
      <c r="BS35" s="708"/>
      <c r="BT35" s="708"/>
      <c r="BU35" s="708"/>
      <c r="BV35" s="708"/>
      <c r="BW35" s="708"/>
      <c r="BX35" s="708"/>
      <c r="BY35" s="708"/>
      <c r="BZ35" s="708"/>
      <c r="CA35" s="708"/>
      <c r="CB35" s="708"/>
      <c r="CC35" s="708"/>
      <c r="CD35" s="708"/>
      <c r="CE35" s="708"/>
      <c r="CF35" s="708"/>
      <c r="CG35" s="708"/>
      <c r="CH35" s="708"/>
    </row>
    <row r="36" spans="1:86" ht="18" customHeight="1" x14ac:dyDescent="0.3">
      <c r="A36" s="715"/>
      <c r="B36" s="716"/>
      <c r="C36" s="716"/>
      <c r="D36" s="716"/>
      <c r="E36" s="717"/>
      <c r="F36" s="718"/>
      <c r="G36" s="718"/>
      <c r="H36" s="718"/>
      <c r="I36" s="717"/>
      <c r="J36" s="717"/>
      <c r="K36" s="718"/>
      <c r="L36" s="718"/>
      <c r="M36" s="718"/>
      <c r="N36" s="718"/>
      <c r="O36" s="717"/>
      <c r="P36" s="717"/>
      <c r="Q36" s="718"/>
      <c r="R36" s="715"/>
      <c r="S36" s="718"/>
      <c r="T36" s="719"/>
      <c r="U36" s="718"/>
      <c r="V36" s="718"/>
      <c r="W36" s="719"/>
      <c r="X36" s="718"/>
      <c r="Y36" s="718"/>
      <c r="Z36" s="718"/>
      <c r="AA36" s="719"/>
      <c r="AB36" s="483"/>
    </row>
    <row r="38" spans="1:86" ht="62.4" x14ac:dyDescent="0.3">
      <c r="B38" s="468"/>
      <c r="C38" s="469" t="s">
        <v>121</v>
      </c>
      <c r="D38" s="470"/>
      <c r="E38" s="471" t="s">
        <v>120</v>
      </c>
      <c r="F38" s="468"/>
      <c r="G38" s="650" t="s">
        <v>116</v>
      </c>
      <c r="H38" s="650"/>
      <c r="I38" s="650"/>
      <c r="J38" s="468"/>
      <c r="K38" s="650" t="s">
        <v>810</v>
      </c>
      <c r="L38" s="650"/>
      <c r="M38" s="650"/>
      <c r="O38" s="650" t="s">
        <v>989</v>
      </c>
      <c r="P38" s="650"/>
      <c r="Q38" s="650"/>
    </row>
    <row r="39" spans="1:86" ht="78" x14ac:dyDescent="0.3">
      <c r="B39" s="468"/>
      <c r="C39" s="472" t="s">
        <v>64</v>
      </c>
      <c r="D39" s="468"/>
      <c r="E39" s="473" t="s">
        <v>117</v>
      </c>
      <c r="F39" s="468"/>
      <c r="G39" s="469" t="s">
        <v>113</v>
      </c>
      <c r="H39" s="469">
        <v>11</v>
      </c>
      <c r="I39" s="474">
        <f>11/29*100</f>
        <v>37.931034482758619</v>
      </c>
      <c r="J39" s="468"/>
      <c r="K39" s="469" t="s">
        <v>113</v>
      </c>
      <c r="L39" s="469">
        <v>4</v>
      </c>
      <c r="M39" s="474">
        <f>4/31*100</f>
        <v>12.903225806451612</v>
      </c>
      <c r="O39" s="499" t="s">
        <v>113</v>
      </c>
      <c r="P39" s="499">
        <v>8</v>
      </c>
      <c r="Q39" s="720">
        <f>8/29*100</f>
        <v>27.586206896551722</v>
      </c>
    </row>
    <row r="40" spans="1:86" ht="78" x14ac:dyDescent="0.3">
      <c r="B40" s="468"/>
      <c r="C40" s="475" t="s">
        <v>65</v>
      </c>
      <c r="D40" s="468"/>
      <c r="E40" s="476" t="s">
        <v>118</v>
      </c>
      <c r="F40" s="468"/>
      <c r="G40" s="469" t="s">
        <v>114</v>
      </c>
      <c r="H40" s="469">
        <v>6</v>
      </c>
      <c r="I40" s="477">
        <f>6/29*100</f>
        <v>20.689655172413794</v>
      </c>
      <c r="J40" s="468"/>
      <c r="K40" s="469" t="s">
        <v>114</v>
      </c>
      <c r="L40" s="469">
        <v>27</v>
      </c>
      <c r="M40" s="477">
        <f>27/31*100</f>
        <v>87.096774193548384</v>
      </c>
      <c r="O40" s="499" t="s">
        <v>114</v>
      </c>
      <c r="P40" s="499">
        <v>19</v>
      </c>
      <c r="Q40" s="721">
        <f>19/29*100</f>
        <v>65.517241379310349</v>
      </c>
    </row>
    <row r="41" spans="1:86" ht="93.6" x14ac:dyDescent="0.3">
      <c r="B41" s="468"/>
      <c r="C41" s="478" t="s">
        <v>66</v>
      </c>
      <c r="D41" s="468"/>
      <c r="E41" s="479" t="s">
        <v>119</v>
      </c>
      <c r="F41" s="468"/>
      <c r="G41" s="469" t="s">
        <v>763</v>
      </c>
      <c r="H41" s="469">
        <v>12</v>
      </c>
      <c r="I41" s="480">
        <f>12/29*100</f>
        <v>41.379310344827587</v>
      </c>
      <c r="J41" s="468"/>
      <c r="O41" s="499" t="s">
        <v>691</v>
      </c>
      <c r="P41" s="449">
        <v>2</v>
      </c>
      <c r="Q41" s="722">
        <f>P41/29*100</f>
        <v>6.8965517241379306</v>
      </c>
    </row>
    <row r="42" spans="1:86" x14ac:dyDescent="0.3">
      <c r="B42" s="468"/>
      <c r="C42" s="468"/>
      <c r="D42" s="468"/>
      <c r="E42" s="468"/>
      <c r="F42" s="468"/>
      <c r="G42" s="468"/>
      <c r="H42" s="468"/>
      <c r="I42" s="468"/>
      <c r="J42" s="468"/>
    </row>
  </sheetData>
  <mergeCells count="13">
    <mergeCell ref="AA1:AA2"/>
    <mergeCell ref="B1:B2"/>
    <mergeCell ref="C1:D1"/>
    <mergeCell ref="E1:I1"/>
    <mergeCell ref="J1:M1"/>
    <mergeCell ref="O1:Q1"/>
    <mergeCell ref="G38:I38"/>
    <mergeCell ref="A1:A2"/>
    <mergeCell ref="R1:T1"/>
    <mergeCell ref="U1:W1"/>
    <mergeCell ref="X1:Z1"/>
    <mergeCell ref="K38:M38"/>
    <mergeCell ref="O38:Q3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SALUD MENTAL</vt:lpstr>
      <vt:lpstr>PRESTACION DE SERVICIOS </vt:lpstr>
      <vt:lpstr>GESTION EPIDEMIOLOGIA</vt:lpstr>
      <vt:lpstr>SALUD AMBIENTAL </vt:lpstr>
      <vt:lpstr>CRONICAS</vt:lpstr>
      <vt:lpstr>ASEGURAMIENTO</vt:lpstr>
      <vt:lpstr>SSR</vt:lpstr>
      <vt:lpstr>GESTION DEL RIESGO</vt:lpstr>
      <vt:lpstr>PROMOCION SOCIAL</vt:lpstr>
      <vt:lpstr>TRASMISIBLES</vt:lpstr>
      <vt:lpstr>TOTAL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dc:creator>
  <cp:lastModifiedBy>Estefany M</cp:lastModifiedBy>
  <dcterms:created xsi:type="dcterms:W3CDTF">2020-05-18T23:10:08Z</dcterms:created>
  <dcterms:modified xsi:type="dcterms:W3CDTF">2020-12-11T02:32:39Z</dcterms:modified>
</cp:coreProperties>
</file>